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FA"/>
  <workbookPr/>
  <bookViews>
    <workbookView xWindow="360" yWindow="300" windowWidth="14895" windowHeight="9090" tabRatio="664" activeTab="0"/>
  </bookViews>
  <sheets>
    <sheet name="APCo STATEMENT AF" sheetId="1" r:id="rId1"/>
    <sheet name="APCo STATEMENT AG" sheetId="2" r:id="rId2"/>
    <sheet name="I  &amp;  M STATEMENT AF" sheetId="3" r:id="rId3"/>
    <sheet name="I &amp; M STATEMENT AG" sheetId="4" r:id="rId4"/>
    <sheet name="KPCo STATEMENT AF" sheetId="5" r:id="rId5"/>
    <sheet name="KPCo STATEMENT AG" sheetId="6" r:id="rId6"/>
    <sheet name="KgPCo STATEMENT AF" sheetId="7" r:id="rId7"/>
    <sheet name="KgPCo STATEMENT AG" sheetId="8" r:id="rId8"/>
    <sheet name="OPCo STATEMENT AF " sheetId="9" r:id="rId9"/>
    <sheet name="OPCo STATEMENT AG" sheetId="10" r:id="rId10"/>
    <sheet name="WPCo STATEMENT AF" sheetId="11" r:id="rId11"/>
    <sheet name="WPCo STATEMENT AG" sheetId="12" r:id="rId12"/>
  </sheets>
  <definedNames>
    <definedName name="HEADA" localSheetId="1">#REF!</definedName>
    <definedName name="HEADA" localSheetId="2">'I  &amp;  M STATEMENT AF'!$A$1:$S$14</definedName>
    <definedName name="HEADA" localSheetId="3">#REF!</definedName>
    <definedName name="HEADA" localSheetId="6">'KgPCo STATEMENT AF'!$A$1:$O$14</definedName>
    <definedName name="HEADA" localSheetId="7">#REF!</definedName>
    <definedName name="HEADA" localSheetId="4">'KPCo STATEMENT AF'!$A$1:$O$14</definedName>
    <definedName name="HEADA" localSheetId="8">'OPCo STATEMENT AF '!$A$1:$Q$14</definedName>
    <definedName name="HEADA" localSheetId="9">#REF!</definedName>
    <definedName name="HEADA" localSheetId="10">'WPCo STATEMENT AF'!$A$1:$O$13</definedName>
    <definedName name="HEADA" localSheetId="11">#REF!</definedName>
    <definedName name="HEADA">'APCo STATEMENT AF'!$A$1:$O$14</definedName>
    <definedName name="HEADB" localSheetId="1">'APCo STATEMENT AG'!$A$1:$O$14</definedName>
    <definedName name="HEADB" localSheetId="2">#REF!</definedName>
    <definedName name="HEADB" localSheetId="3">'I &amp; M STATEMENT AG'!$A$1:$S$14</definedName>
    <definedName name="HEADB" localSheetId="7">'KgPCo STATEMENT AG'!$A$1:$O$14</definedName>
    <definedName name="HEADB" localSheetId="5">'KPCo STATEMENT AG'!$A$1:$O$14</definedName>
    <definedName name="HEADB" localSheetId="9">'OPCo STATEMENT AG'!$A$1:$P$14</definedName>
    <definedName name="HEADB" localSheetId="11">'WPCo STATEMENT AG'!$A$1:$O$14</definedName>
    <definedName name="HEADB">#REF!</definedName>
    <definedName name="HEADC">#REF!</definedName>
    <definedName name="HEADD">#REF!</definedName>
    <definedName name="PAGEA" localSheetId="1">#REF!</definedName>
    <definedName name="PAGEA" localSheetId="2">'I  &amp;  M STATEMENT AF'!$A$15:$S$172</definedName>
    <definedName name="PAGEA" localSheetId="3">#REF!</definedName>
    <definedName name="PAGEA" localSheetId="6">'KgPCo STATEMENT AF'!$A$15:$O$75</definedName>
    <definedName name="PAGEA" localSheetId="7">#REF!</definedName>
    <definedName name="PAGEA" localSheetId="4">'KPCo STATEMENT AF'!$A$15:$O$110</definedName>
    <definedName name="PAGEA" localSheetId="8">'OPCo STATEMENT AF '!$A$15:$Q$153</definedName>
    <definedName name="PAGEA" localSheetId="9">#REF!</definedName>
    <definedName name="PAGEA" localSheetId="10">'WPCo STATEMENT AF'!$A$14:$O$63</definedName>
    <definedName name="PAGEA" localSheetId="11">#REF!</definedName>
    <definedName name="PAGEA">'APCo STATEMENT AF'!$A$15:$O$143</definedName>
    <definedName name="PAGEB" localSheetId="1">'APCo STATEMENT AG'!$A$15:$O$102</definedName>
    <definedName name="PAGEB" localSheetId="2">#REF!</definedName>
    <definedName name="PAGEB" localSheetId="3">'I &amp; M STATEMENT AG'!$A$15:$S$124</definedName>
    <definedName name="PAGEB" localSheetId="6">#REF!</definedName>
    <definedName name="PAGEB" localSheetId="7">'KgPCo STATEMENT AG'!$A$15:$O$52</definedName>
    <definedName name="PAGEB" localSheetId="5">'KPCo STATEMENT AG'!$A$15:$O$74</definedName>
    <definedName name="PAGEB" localSheetId="9">'OPCo STATEMENT AG'!$A$15:$P$118</definedName>
    <definedName name="PAGEB" localSheetId="10">#REF!</definedName>
    <definedName name="PAGEB" localSheetId="11">'WPCo STATEMENT AG'!$A$15:$O$51</definedName>
    <definedName name="PAGEB">#REF!</definedName>
    <definedName name="PAGEC" localSheetId="2">#REF!</definedName>
    <definedName name="PAGEC" localSheetId="3">#REF!</definedName>
    <definedName name="PAGEC" localSheetId="6">#REF!</definedName>
    <definedName name="PAGEC" localSheetId="7">#REF!</definedName>
    <definedName name="PAGEC" localSheetId="8">#REF!</definedName>
    <definedName name="PAGEC" localSheetId="9">#REF!</definedName>
    <definedName name="PAGEC" localSheetId="10">#REF!</definedName>
    <definedName name="PAGEC" localSheetId="11">#REF!</definedName>
    <definedName name="PAGEC">#REF!</definedName>
    <definedName name="PAGED" localSheetId="2">#REF!</definedName>
    <definedName name="PAGED" localSheetId="3">#REF!</definedName>
    <definedName name="PAGED" localSheetId="6">#REF!</definedName>
    <definedName name="PAGED" localSheetId="7">#REF!</definedName>
    <definedName name="PAGED" localSheetId="8">#REF!</definedName>
    <definedName name="PAGED" localSheetId="9">#REF!</definedName>
    <definedName name="PAGED" localSheetId="10">#REF!</definedName>
    <definedName name="PAGED" localSheetId="11">#REF!</definedName>
    <definedName name="PAGED">#REF!</definedName>
    <definedName name="_xlnm.Print_Area" localSheetId="0">'APCo STATEMENT AF'!$A$1:$S$143</definedName>
    <definedName name="_xlnm.Print_Area" localSheetId="1">'APCo STATEMENT AG'!$A$1:$O$101</definedName>
    <definedName name="_xlnm.Print_Area" localSheetId="2">'I  &amp;  M STATEMENT AF'!$C$15:$Y$172</definedName>
    <definedName name="_xlnm.Print_Area" localSheetId="3">'I &amp; M STATEMENT AG'!$A$1:$S$124</definedName>
    <definedName name="_xlnm.Print_Area" localSheetId="6">'KgPCo STATEMENT AF'!$B$15:$S$75</definedName>
    <definedName name="_xlnm.Print_Area" localSheetId="7">'KgPCo STATEMENT AG'!$A$1:$S$52</definedName>
    <definedName name="_xlnm.Print_Area" localSheetId="4">'KPCo STATEMENT AF'!$A$1:$S$111</definedName>
    <definedName name="_xlnm.Print_Area" localSheetId="5">'KPCo STATEMENT AG'!$A$1:$S$74</definedName>
    <definedName name="_xlnm.Print_Area" localSheetId="8">'OPCo STATEMENT AF '!$A$1:$W$153</definedName>
    <definedName name="_xlnm.Print_Area" localSheetId="9">'OPCo STATEMENT AG'!$A$1:$V$117</definedName>
    <definedName name="_xlnm.Print_Area" localSheetId="10">'WPCo STATEMENT AF'!$A$1:$S$71</definedName>
    <definedName name="_xlnm.Print_Area" localSheetId="11">'WPCo STATEMENT AG'!$A$1:$S$51</definedName>
    <definedName name="_xlnm.Print_Titles" localSheetId="0">'APCo STATEMENT AF'!$A:$B,'APCo STATEMENT AF'!$1:$14</definedName>
    <definedName name="_xlnm.Print_Titles" localSheetId="1">'APCo STATEMENT AG'!$A:$B,'APCo STATEMENT AG'!$1:$13</definedName>
    <definedName name="_xlnm.Print_Titles" localSheetId="2">'I  &amp;  M STATEMENT AF'!$A:$B,'I  &amp;  M STATEMENT AF'!$1:$14</definedName>
    <definedName name="_xlnm.Print_Titles" localSheetId="3">'I &amp; M STATEMENT AG'!$A:$B,'I &amp; M STATEMENT AG'!$1:$13</definedName>
    <definedName name="_xlnm.Print_Titles" localSheetId="6">'KgPCo STATEMENT AF'!$A:$B,'KgPCo STATEMENT AF'!$1:$14</definedName>
    <definedName name="_xlnm.Print_Titles" localSheetId="7">'KgPCo STATEMENT AG'!$A:$B,'KgPCo STATEMENT AG'!$1:$13</definedName>
    <definedName name="_xlnm.Print_Titles" localSheetId="4">'KPCo STATEMENT AF'!$A:$B,'KPCo STATEMENT AF'!$1:$14</definedName>
    <definedName name="_xlnm.Print_Titles" localSheetId="5">'KPCo STATEMENT AG'!$A:$B,'KPCo STATEMENT AG'!$1:$13</definedName>
    <definedName name="_xlnm.Print_Titles" localSheetId="8">'OPCo STATEMENT AF '!$A:$C,'OPCo STATEMENT AF '!$1:$14</definedName>
    <definedName name="_xlnm.Print_Titles" localSheetId="9">'OPCo STATEMENT AG'!$A:$B,'OPCo STATEMENT AG'!$1:$13</definedName>
    <definedName name="_xlnm.Print_Titles" localSheetId="10">'WPCo STATEMENT AF'!$A:$B,'WPCo STATEMENT AF'!$1:$13</definedName>
    <definedName name="_xlnm.Print_Titles" localSheetId="11">'WPCo STATEMENT AG'!$A:$B,'WPCo STATEMENT AG'!$1:$14</definedName>
  </definedNames>
  <calcPr fullCalcOnLoad="1"/>
</workbook>
</file>

<file path=xl/comments10.xml><?xml version="1.0" encoding="utf-8"?>
<comments xmlns="http://schemas.openxmlformats.org/spreadsheetml/2006/main">
  <authors>
    <author>Mike Kelly</author>
  </authors>
  <commentList>
    <comment ref="C17" authorId="0">
      <text>
        <r>
          <rPr>
            <b/>
            <sz val="8"/>
            <rFont val="Tahoma"/>
            <family val="0"/>
          </rPr>
          <t>Mike Kelly:</t>
        </r>
        <r>
          <rPr>
            <sz val="8"/>
            <rFont val="Tahoma"/>
            <family val="0"/>
          </rPr>
          <t xml:space="preserve">
Reclassification of $(51,000) Tax Credit Carryforward from 236 account to 190.1 account was done on elimination company.</t>
        </r>
      </text>
    </comment>
    <comment ref="N17" authorId="0">
      <text>
        <r>
          <rPr>
            <b/>
            <sz val="8"/>
            <rFont val="Tahoma"/>
            <family val="0"/>
          </rPr>
          <t>Mike Kelly:</t>
        </r>
        <r>
          <rPr>
            <sz val="8"/>
            <rFont val="Tahoma"/>
            <family val="0"/>
          </rPr>
          <t xml:space="preserve">
Reclassification of $(51,000) Tax Credit Carryforward from 236 account to 190.1 account was done on elimination company.</t>
        </r>
      </text>
    </comment>
  </commentList>
</comments>
</file>

<file path=xl/comments8.xml><?xml version="1.0" encoding="utf-8"?>
<comments xmlns="http://schemas.openxmlformats.org/spreadsheetml/2006/main">
  <authors>
    <author>Kathleen G Silcott</author>
    <author>Mike Kelly</author>
  </authors>
  <commentList>
    <comment ref="C17" authorId="0">
      <text>
        <r>
          <rPr>
            <b/>
            <sz val="8"/>
            <rFont val="Tahoma"/>
            <family val="2"/>
          </rPr>
          <t>Kathleen G Silcott: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Taxable income for Trans and Taxable loss for Dist</t>
        </r>
      </text>
    </comment>
    <comment ref="O17" authorId="1">
      <text>
        <r>
          <rPr>
            <b/>
            <sz val="8"/>
            <rFont val="Tahoma"/>
            <family val="0"/>
          </rPr>
          <t>Mike Kelly:</t>
        </r>
        <r>
          <rPr>
            <sz val="8"/>
            <rFont val="Tahoma"/>
            <family val="0"/>
          </rPr>
          <t xml:space="preserve">
Reclassification of NOL from 236 account to 190.1 account was done on elimination company.  Taxable income for Trans and Taxable loss for Dist</t>
        </r>
      </text>
    </comment>
  </commentList>
</comments>
</file>

<file path=xl/sharedStrings.xml><?xml version="1.0" encoding="utf-8"?>
<sst xmlns="http://schemas.openxmlformats.org/spreadsheetml/2006/main" count="1625" uniqueCount="643">
  <si>
    <t>SPECIFIED DEFERRED CREDITS</t>
  </si>
  <si>
    <t>(DEBIT)  CREDIT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</si>
  <si>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</si>
  <si>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</si>
  <si>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</si>
  <si>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</si>
  <si>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</si>
  <si>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</si>
  <si>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</si>
  <si>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</si>
  <si>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</si>
  <si>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</si>
  <si>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PER BOOKS</t>
  </si>
  <si>
    <t>NON-APPLICABLE/NON-UTILITY</t>
  </si>
  <si>
    <t>AVERAGE</t>
  </si>
  <si>
    <t xml:space="preserve">ELECTRIC </t>
  </si>
  <si>
    <t>BALANCE AS</t>
  </si>
  <si>
    <t>UTILITY</t>
  </si>
  <si>
    <t>ACCUMULATED DEFERRED FIT ITEMS</t>
  </si>
  <si>
    <t>(B+C+D+E)/2</t>
  </si>
  <si>
    <t>GENERATION</t>
  </si>
  <si>
    <t>TRANSMISSION</t>
  </si>
  <si>
    <t>DISTRIBUTION</t>
  </si>
  <si>
    <t>ACCOUNT 281:</t>
  </si>
  <si>
    <t xml:space="preserve"> 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</si>
  <si>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</si>
  <si>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</si>
  <si>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</si>
  <si>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</si>
  <si>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</si>
  <si>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FERC ORDER 144 CATCH UP</t>
  </si>
  <si>
    <t>ABFUDC</t>
  </si>
  <si>
    <t>TXS CAPD</t>
  </si>
  <si>
    <t>PENS CAPD</t>
  </si>
  <si>
    <t>SEC 481 PENS/OPEB ADJUSTMENT</t>
  </si>
  <si>
    <t>SAV PLAN CAPD</t>
  </si>
  <si>
    <t>PERCENT REPAIR ALLOWANCE</t>
  </si>
  <si>
    <t>GAIN ON DEFERRED DEBT</t>
  </si>
  <si>
    <t>SFAS 109 FLOW-THRU 282.3</t>
  </si>
  <si>
    <t>SFAS 109 EXCESS DFIT 282.4</t>
  </si>
  <si>
    <t>TOTAL ACOUNT 282</t>
  </si>
  <si>
    <t>MTM BK GAIN - A/L - TAX DEFL</t>
  </si>
  <si>
    <t>DEFD TAX GAIN - EPA AUCTION</t>
  </si>
  <si>
    <t>LOSS ON REACQUIRED DEBT</t>
  </si>
  <si>
    <t>DEFD SFAS 106 BOOK COSTS</t>
  </si>
  <si>
    <t>REG ASSET - ACCRUED SFAS 112</t>
  </si>
  <si>
    <t>SFAS 109 FLOW-THRU 283.3</t>
  </si>
  <si>
    <t>SFAS 109 EXCESS DFIT 283.4</t>
  </si>
  <si>
    <t>SFAS 133 ADIT FED - SFAS 133 NONAFFIL 2830006</t>
  </si>
  <si>
    <t>TOTAL ACCOUNT 283</t>
  </si>
  <si>
    <t>SFAS 109 - DEFD STATE INCOME TAXES</t>
  </si>
  <si>
    <t>JURISDICTIONAL AMOUNTS FUNCTIONALIZED</t>
  </si>
  <si>
    <t>TOTAL COMPANY AMOUNTS FUNCTIONALIZED</t>
  </si>
  <si>
    <t>REFUNCTIONALIZED BASED ON JURISDICTIONAL PLANT</t>
  </si>
  <si>
    <t>NOTE:  POST 1970 ACCUMULATED DEFERRED</t>
  </si>
  <si>
    <t xml:space="preserve">             INV TAX CRED. (JDITC) IN A/C 255</t>
  </si>
  <si>
    <t>TOTAL ACCOUNT 255</t>
  </si>
  <si>
    <t>ACCRUED BK PENSION EXPENSE</t>
  </si>
  <si>
    <t>BOOK &gt; TAX BASIS - EMA - A/C 283</t>
  </si>
  <si>
    <t>REG ASSET - SFAS 143 - ARO</t>
  </si>
  <si>
    <t>COLUMN K</t>
  </si>
  <si>
    <t>COLUMN L</t>
  </si>
  <si>
    <t>COLUMN M</t>
  </si>
  <si>
    <t>COLUMN N</t>
  </si>
  <si>
    <t>COLUMN O</t>
  </si>
  <si>
    <t>ACCOUNT 283:</t>
  </si>
  <si>
    <t>FUNCTIONALIZATION AVERAGE</t>
  </si>
  <si>
    <t>APPALACHIAN POWER COMPANY</t>
  </si>
  <si>
    <t>BK PLANT IN SERVICE - SFAS 143 - ARO</t>
  </si>
  <si>
    <t>DFIT GENERATION PLANT</t>
  </si>
  <si>
    <t>ABFUDC - TRANSMISSION</t>
  </si>
  <si>
    <t>ABFUDC - GENERAL</t>
  </si>
  <si>
    <t>ABFUDC - DISTRIBUTION</t>
  </si>
  <si>
    <t>DEFD TAX GAIN - FIBER OPTIC LINE</t>
  </si>
  <si>
    <t>AMORT PERPETUAL TERM ELECT PLT</t>
  </si>
  <si>
    <t>REMOVAL COSTS</t>
  </si>
  <si>
    <t>REMOVAL COSTS REV - SFAS 143 - ARO</t>
  </si>
  <si>
    <t>TAX WRITE OFF MINE DEVEL COSTS</t>
  </si>
  <si>
    <t>BK DEPLETION -- NUEAST</t>
  </si>
  <si>
    <t>SV - UNDER RECOVERY FUEL COST</t>
  </si>
  <si>
    <t>DEFD RTO EXPS &amp; CARRYING CHARGES</t>
  </si>
  <si>
    <t>BK DEFL - MACSS COSTS</t>
  </si>
  <si>
    <t>TRANSITION REGULATORY ASSETS</t>
  </si>
  <si>
    <t>TAX DEFL - NON-DEPRECIABLES</t>
  </si>
  <si>
    <t>CAPITALIZED SOFTWARE COSTS - BOOK</t>
  </si>
  <si>
    <t>TX AMORT POLLUTION CONT EQPT</t>
  </si>
  <si>
    <t>SEC ALLOC - ITC - 46F1 - 10%</t>
  </si>
  <si>
    <t>BOOK VS. TAX DEPRECIATION</t>
  </si>
  <si>
    <t xml:space="preserve">CAPD INTEREST-SECTION 481(a)-CHANGE IN METHD </t>
  </si>
  <si>
    <t>RELOCATION CST-SECTION 481(a)-CHANGE IN METHD</t>
  </si>
  <si>
    <t>CAPITALIZED RELOCATION COSTS</t>
  </si>
  <si>
    <t>EXTRAORDINARY LOSS ON DISP OF PROP</t>
  </si>
  <si>
    <t>PJM INTEGRATION-SEC 481(a)-INTANG-DFD LABOR</t>
  </si>
  <si>
    <t>ACCRUED BK PENSION COSTS - SFAS 158</t>
  </si>
  <si>
    <t>DEFD SYS RELIABILITY COSTS &amp; CARRYING CHARGES</t>
  </si>
  <si>
    <t>DEFD EQUITY CARRY CHRGS-RELIABILITY CAPITAL</t>
  </si>
  <si>
    <t>RATE CASE DEFD CHGS</t>
  </si>
  <si>
    <t>REG ASSET - SFAS 158 - PENSIONS</t>
  </si>
  <si>
    <t>REG ASSET - SFAS 158 - SERP</t>
  </si>
  <si>
    <t>REG ASSET - SFAS 158 - OPEB</t>
  </si>
  <si>
    <t>BOOK LEASES CAPITALIZED FOR TAX</t>
  </si>
  <si>
    <t>MARK &amp; SPREAD-DEFL-283-A/L</t>
  </si>
  <si>
    <t xml:space="preserve">DEFD ENVIRON COMP COSTS &amp; CARRYING CHARGES </t>
  </si>
  <si>
    <t>ADIT FED - HEDGE-INTEREST RATE 2830015</t>
  </si>
  <si>
    <t>ADIT FED - HEDGE-FOREIGN EXC 2830016</t>
  </si>
  <si>
    <t>DEFD STATE INCOME TAXES</t>
  </si>
  <si>
    <t>R &amp; D DEDUCTION - SECTION 174</t>
  </si>
  <si>
    <t>GAIN/LOSS ON ACRS/MACRS PROPERTY</t>
  </si>
  <si>
    <t>2007 IRS AUDIT ADJUSTMENTS - A/C 282</t>
  </si>
  <si>
    <t>PROPERTY TAX - NEW METHOD - BOOK</t>
  </si>
  <si>
    <t>SW - UNDER RECOVERY FUEL COST</t>
  </si>
  <si>
    <t>REG ASSET - MOUNTAINEER CARBON CAPTURE</t>
  </si>
  <si>
    <t>CAPITALIZED LEASES - A/C 1011 ASSETS</t>
  </si>
  <si>
    <t>MNTR CARBON CAPTURE - SFAS 143 - ARO</t>
  </si>
  <si>
    <t>BOOK/TAX UNIT OF PROPERTY ADJ</t>
  </si>
  <si>
    <t>BK/TAX UNIT OF PROPERTY ADJ-SEC 481 ADJ</t>
  </si>
  <si>
    <t>REMOVAL COSTS - ARO-MTNR CARBON CAPTURE</t>
  </si>
  <si>
    <t>WV -ENEC UNDER RECOVERY BANK</t>
  </si>
  <si>
    <t>DEFD TX GAIN-INTERCO SALE-EMA</t>
  </si>
  <si>
    <t>REG ASSET - DEFERRED RPS COSTS</t>
  </si>
  <si>
    <t>REG ASSET - CARRYING CHARGES-WV ENEC</t>
  </si>
  <si>
    <t>REG ASSET - UNDERRECOVERY-VIRGINIA T-RAC</t>
  </si>
  <si>
    <t>OF 12-31-10</t>
  </si>
  <si>
    <t>FUNCTIONALIZATION 12/31/10</t>
  </si>
  <si>
    <t>GAIN/LOSS ON ACRS/MACRS BK/TX UNIT PROPERTY</t>
  </si>
  <si>
    <t>DEFD STORM DAMAGE</t>
  </si>
  <si>
    <t>DEFD EQUITY CARRY CHGS - WV-ENEC</t>
  </si>
  <si>
    <t>PERIOD ENDED DECEMBER 31, 2011</t>
  </si>
  <si>
    <t>OF 12-31-11</t>
  </si>
  <si>
    <t>FUNCTIONALIZATION 12/31/11</t>
  </si>
  <si>
    <t>REG ASSET-DEFD SEVERENCE COSTS</t>
  </si>
  <si>
    <t>REG ASSET-DEFD VA SOFTWARE LICENSING EXPENSE</t>
  </si>
  <si>
    <t>WV UNRECOV FUEL POOL CAPACITY IMPACT</t>
  </si>
  <si>
    <t>REG ASSET-TRANS AGREEMENT PHASE-IN-WV</t>
  </si>
  <si>
    <t>REG ASSET-DEFD VA WIND REPLACEMENT CSTS</t>
  </si>
  <si>
    <t>REG ASSET-NET CCS FEED STUDY COSTS</t>
  </si>
  <si>
    <t>REG ASSET-DEFERRED VA RPS INCREM COSTS-CURRENT</t>
  </si>
  <si>
    <t>REG ASSET-DEFERRED VA WIND NON-INCREM COSTS</t>
  </si>
  <si>
    <t>STATE NOL CURRENT BENEFIT</t>
  </si>
  <si>
    <t xml:space="preserve">HYDRO CREDIT - ITC - 46F1 </t>
  </si>
  <si>
    <t>ACCUMULATED DEFERRED INCOME TAX IN ACCOUNT 190</t>
  </si>
  <si>
    <t>DEBIT  (CREDIT)</t>
  </si>
  <si>
    <t>ACCOUNT 190:</t>
  </si>
  <si>
    <t>NOL &amp; TAX CREDIT C/F - DEF TAX ASSET</t>
  </si>
  <si>
    <t>INT EXP CAPITALIZED FOR TAX</t>
  </si>
  <si>
    <t xml:space="preserve">CIAC-BOOK RECEIPTS </t>
  </si>
  <si>
    <t>CIAC-BOOK RECEIPTS - DISTR - SV</t>
  </si>
  <si>
    <t>CIAC-BOOK RECEIPTS - TRANS</t>
  </si>
  <si>
    <t>CIAC-BOOK RECEIPTS - DISTR - SW</t>
  </si>
  <si>
    <t>CIAC - MUSSER ACQUISITION</t>
  </si>
  <si>
    <t>SW - OVER RECOVERY FUEL COSTS</t>
  </si>
  <si>
    <t>SV - OVER RECOVERY FUEL COSTS</t>
  </si>
  <si>
    <t>PROVS POSS REV REFDS</t>
  </si>
  <si>
    <t>SALE/LEASE - GRUNDY</t>
  </si>
  <si>
    <t>MTM BK LOSS - A/L - TAX DEFL</t>
  </si>
  <si>
    <t>MARK &amp; SPREAD-DEFL-190-A/L</t>
  </si>
  <si>
    <t>PROV WORKERS COMP</t>
  </si>
  <si>
    <t>SUPPLEMENTAL EXECUTIVE RETIRE PLAN</t>
  </si>
  <si>
    <t>ACCD SUP EXEC RETIR PLAN COSTS-SFAS 158</t>
  </si>
  <si>
    <t>ACCRD BK SUP. SAVINGS PLAN EXP</t>
  </si>
  <si>
    <t>EMPLOYER SAVINGS PLAN MATCH</t>
  </si>
  <si>
    <t>ACCRUED PSI PLAN EXP</t>
  </si>
  <si>
    <t>BK PROV UNCOLL ACCTS</t>
  </si>
  <si>
    <t>PROV - TRADING CREDIT RISK - A/L</t>
  </si>
  <si>
    <t>PROV - FAS 157 - A/L</t>
  </si>
  <si>
    <t>ACCRD COMPANYWIDE INCENTV PLAN</t>
  </si>
  <si>
    <t>ACCRUED ENVIRONMENTAL LIAB-CURRENT</t>
  </si>
  <si>
    <t>ACCRUED BOOK VACATION PAY</t>
  </si>
  <si>
    <t>ACCRUED MGMT INCENTIVE BONUS</t>
  </si>
  <si>
    <t>ACCRUED BK SEVERANCE BENEFITS</t>
  </si>
  <si>
    <t>ACCRUED INTEREST EXPENSE - STATE</t>
  </si>
  <si>
    <t>ACCRUED INTEREST-LONG-TERM - FIN 48</t>
  </si>
  <si>
    <t>ACCRUED INTEREST-SHORT-TERM - FIN 48</t>
  </si>
  <si>
    <t>ACCRUED STATE INCOME TAX EXPENSE</t>
  </si>
  <si>
    <t>BK DFL RAIL TRANS REV/EXP</t>
  </si>
  <si>
    <t>ACCRUED RTO CARRYING CHARGES</t>
  </si>
  <si>
    <t>DEFD EQUITY CARRYING CHRGS-ENVIRON COMP COSTS</t>
  </si>
  <si>
    <t>FEDERAL MITIGATION PROGRAMS</t>
  </si>
  <si>
    <t xml:space="preserve">STATE MITIGATION PROGRAMS </t>
  </si>
  <si>
    <t>DEFD REV-EPRI/MNTR CARBON CAPTURE-CUR</t>
  </si>
  <si>
    <t>DEFD REV-EPRI/MNTR CARBON CAPTURE-L/T</t>
  </si>
  <si>
    <t>DEFD BK CONTRACT REVENUE</t>
  </si>
  <si>
    <t>DEFD STORM DAMAGES</t>
  </si>
  <si>
    <t>FK BK WRITE-OFF BLUE RIDGE EASE</t>
  </si>
  <si>
    <t>FR BK WRITE-OFF BLUE RIDGE EASE</t>
  </si>
  <si>
    <t>SV BK WRITE-OFF BLUE RIDGE EASE</t>
  </si>
  <si>
    <t>CV BK WRITE-OFF BLUE RIDGE EASE</t>
  </si>
  <si>
    <t>DEFD TX LOSS-INTERCO SALE-EMA</t>
  </si>
  <si>
    <t>DEFD BOOK GAIN - EPA AUCTION</t>
  </si>
  <si>
    <t>ADVANCE RENTAL INC (CUR MO)</t>
  </si>
  <si>
    <t>DEFERRED BOOK RENTS</t>
  </si>
  <si>
    <t>REG - LIAB - UNREAL MTM GAIN - DEFL</t>
  </si>
  <si>
    <t>REG ASSET/LIAB-CENTURY ALUMINUM</t>
  </si>
  <si>
    <t>CAPITALIZED SOFTWARE COSTS - TAX</t>
  </si>
  <si>
    <t>CAPITALIZED ADVERTISING EXP - TAX</t>
  </si>
  <si>
    <t>ACCRD SFAS 106 PST RETIRE EXP</t>
  </si>
  <si>
    <t>SFAS 106 PST RETIRE EXP - NON-DEDUCT CONT</t>
  </si>
  <si>
    <t>ACCRD OPEB COSTS - SFAS 158</t>
  </si>
  <si>
    <t>ACCRD SFAS 112 EMPLOY BEN</t>
  </si>
  <si>
    <t>ACCRD BOOK ARO EXPENSE-SFAS 143</t>
  </si>
  <si>
    <t>SFAS 106 - MEDICARE SUBSIDY-NORM-(PPACA)</t>
  </si>
  <si>
    <t>ACCRD BK ARO EXP-MTNR CARBON CAPTURE</t>
  </si>
  <si>
    <t>ACCRUED BK REMOVAL COST - ACRS</t>
  </si>
  <si>
    <t>FIN 48 - DEFD STATE INCOME TAXES</t>
  </si>
  <si>
    <t>ACCRD SIT/FRANCHISE TAX RESERVE</t>
  </si>
  <si>
    <t>ACCRUED SALES &amp; USE TAX RESERVE</t>
  </si>
  <si>
    <t>ACCRD SIT TX RES-LNG-TERM-FIN 48</t>
  </si>
  <si>
    <t>ACCRD SIT TX RES-SHORT-TERM-FIN 48</t>
  </si>
  <si>
    <t>SFAS 109 - DEFD SIT LIABILITY</t>
  </si>
  <si>
    <t>1985-1987 IRS AUDIT SETTLEMENT</t>
  </si>
  <si>
    <t>1991-1996 IRS AUDIT SETTLEMENT</t>
  </si>
  <si>
    <t>1997-2003 IRS AUDIT SETTLEMENT</t>
  </si>
  <si>
    <t>2007 IRS AUDIT ADJUSTMENTS - A/C 190</t>
  </si>
  <si>
    <t>IRS CAPITALIZATION ADJUSTMENT</t>
  </si>
  <si>
    <t>AMT CREDIT DEFERRED</t>
  </si>
  <si>
    <t>SFAS 109 FLOW-THRU 190.3</t>
  </si>
  <si>
    <t>SFAS 109 EXCESS DFIT 190.4</t>
  </si>
  <si>
    <t>SFAS 133 ADIT FED - SFAS NONAFFIL 1900006</t>
  </si>
  <si>
    <t>ADIT FED - PENSION OCI NAF 1900009</t>
  </si>
  <si>
    <t>ADIT FED - HEDGE-INTEREST RATE 1900015</t>
  </si>
  <si>
    <t>ADIT FED - HEDGE-FOREIGN EXC 1900016</t>
  </si>
  <si>
    <t>DEFERRED SIT  1901002</t>
  </si>
  <si>
    <t>TOTAL ACCOUNT 190</t>
  </si>
  <si>
    <t>INDIANA MICHIGAN POWER COMPANY</t>
  </si>
  <si>
    <t>COLUMN P</t>
  </si>
  <si>
    <t>COLUMN Q</t>
  </si>
  <si>
    <t>COLUMN R</t>
  </si>
  <si>
    <t>COLUMN S</t>
  </si>
  <si>
    <t>COLUMN T</t>
  </si>
  <si>
    <t>COLUMN U</t>
  </si>
  <si>
    <t>NUCLEAR</t>
  </si>
  <si>
    <t>RTD</t>
  </si>
  <si>
    <t>EX L/T DFIT TX RESRV-SNF</t>
  </si>
  <si>
    <t>FERC - MPCO DEFD FIT @ MERGER</t>
  </si>
  <si>
    <t>FIT % RATE CHANGE-LD</t>
  </si>
  <si>
    <t>BK VS TAX DEPR</t>
  </si>
  <si>
    <t>SEC 481 - LEAD/LAG TAX DEPREC</t>
  </si>
  <si>
    <t>CAPD INTEREST - SECTION 481(a) - CHANGE IN METHD</t>
  </si>
  <si>
    <t>RELOCATION COST - SECTION 481(a) - CHANGE IN METH</t>
  </si>
  <si>
    <t>PJM INTEGRATION - SEC 481(a) - INTANG - DFD LABOR</t>
  </si>
  <si>
    <t>BK PLANT IN SERVICE-SFAS 143-ARO</t>
  </si>
  <si>
    <t>GAIN/LOSS ON ACRS/MACRS-BK/TX UNIT PROP</t>
  </si>
  <si>
    <t>ABFUDC-NUCLEAR FUEL</t>
  </si>
  <si>
    <t>ABFUDC - ROCKPORT SPARE PARTS</t>
  </si>
  <si>
    <t>ABFUDC-RKPRT-SULL EHV</t>
  </si>
  <si>
    <t>ABFUDC - ROCKPORT UNIT 1</t>
  </si>
  <si>
    <t>ABFUDC - ROCKPORT UNIT 2</t>
  </si>
  <si>
    <t>ABFUDC- RKPRT-JEFF EHV</t>
  </si>
  <si>
    <t>ABFUDC-RKPRT PC U1</t>
  </si>
  <si>
    <t>ABFUDC - COOK PLANT/U2 STEAM GNR</t>
  </si>
  <si>
    <t>INVOL CONV RKPT U1-TURBINE</t>
  </si>
  <si>
    <t>INVOL CONV RKPT U1-ASH HOPPER</t>
  </si>
  <si>
    <t>TAXES CAPITALIZED</t>
  </si>
  <si>
    <t>TAXES CAPITALIZED-ROCKPORT SPARE PARTS</t>
  </si>
  <si>
    <t>TAXES CAPITALIZED-RKPRT-SULL EHV</t>
  </si>
  <si>
    <t>TAXES CAPITALIZED - ROCKPORT UNIT 1</t>
  </si>
  <si>
    <t>TAXES CAPITALIZED - ROCKPORT UNIT 2</t>
  </si>
  <si>
    <t>TAXES CAPITALIZED-RKPRT-JEFF EHV</t>
  </si>
  <si>
    <t>PENSIONS CAPITALIZED</t>
  </si>
  <si>
    <t>PENSIONS CAPITALIZED-RKPRT-SULL EHV</t>
  </si>
  <si>
    <t>PENSIONS CAPITALIZED-ROCKPORT SPARE PARTS</t>
  </si>
  <si>
    <t>PENSIONS CAPITALIZED - ROCKPORT UNIT 1</t>
  </si>
  <si>
    <t>PENSIONS CAPITALIZED - RKPRT-JEFF EHV</t>
  </si>
  <si>
    <t>SAVINGS PLAN CAPITALIZED</t>
  </si>
  <si>
    <t>SAVINGS PLAN CAPITALIZED-RKPRT-SULL EHV</t>
  </si>
  <si>
    <t>SAVINGS PLAN CAPITALIZED-RKPT SPARE PARTS</t>
  </si>
  <si>
    <t>SAVINGS PLAN CAPITALIZED - ROCKPORT UNIT1</t>
  </si>
  <si>
    <t>SAVINGS PLAN CAPITALIZED - RKPRT-JEFF EHV</t>
  </si>
  <si>
    <t>CIAC - BK RECEIPTS - STEEL DYNAMICS</t>
  </si>
  <si>
    <t>INT EXP CAPD BK - THI SETTLE</t>
  </si>
  <si>
    <t>DEFD TX GAIN RKPRT LAND ABFUDC</t>
  </si>
  <si>
    <t>DEFD TX GAIN RKPRT LAND O/H</t>
  </si>
  <si>
    <t>REMOVAL COSTS-COOK U2 STM GNR</t>
  </si>
  <si>
    <t>REMOVAL COSTS-COOK U1 STM GNR</t>
  </si>
  <si>
    <t>SI-UNRECD FUEL CSTS (CUR MO)</t>
  </si>
  <si>
    <t>SM-UNRECD FUEL CSTS</t>
  </si>
  <si>
    <t>UNRECD FUEL-3 RIVERS-PRE-MERGE</t>
  </si>
  <si>
    <t>UNRECD FUEL INTEREST</t>
  </si>
  <si>
    <t>PROP TX-RKPT SPARES-WVA-TAX</t>
  </si>
  <si>
    <t>PROP TAX-RKPT U2-OLD METHOD TX</t>
  </si>
  <si>
    <t>MARK &amp; SPREAD - DEFL - 283 A/L</t>
  </si>
  <si>
    <t>REG ASSET - UNREAL LOSS FWD CMMT</t>
  </si>
  <si>
    <t>DEFD ENVIRON COMP COSTS &amp; CARRYING CHARGES</t>
  </si>
  <si>
    <t>REG ASSET - DEFERRED RTO COSTS</t>
  </si>
  <si>
    <t>FRT WAYNE CITY LGTS-RIGHT TO SERVE SETTLE</t>
  </si>
  <si>
    <t>RATE CASE DEFERRED CHARGES</t>
  </si>
  <si>
    <t>BK DEFL-DEMAND SIDE MNGMT EXP</t>
  </si>
  <si>
    <t>BOOK &gt; TAX - EMA - A/C 283</t>
  </si>
  <si>
    <t>DEFD TX GAIN - INTERCO SALE - EMA</t>
  </si>
  <si>
    <t>REG ASSET-DEFD CARRY COST ON STRANDED COST</t>
  </si>
  <si>
    <t>REG ASSET - DEFERRED PJM FEES</t>
  </si>
  <si>
    <t>REG ASSET-ENVIRON COMPLIANCE CARRY COSTS</t>
  </si>
  <si>
    <t>REG ASSET-OSS MARGIN SHARING</t>
  </si>
  <si>
    <t>REG ASSET - UNDERRECOVERY PJM EXPENSES</t>
  </si>
  <si>
    <t>REG ASSET-NSR CONSENT DECREE</t>
  </si>
  <si>
    <t>REG ASSET-UND/REC-CCT RIDER CAR CHGS</t>
  </si>
  <si>
    <t>REG ASSET-UND/REC-CCTR PST APP ADD CAR CHGS</t>
  </si>
  <si>
    <t>REG ASSET-UND/REC-DEFD NUC DECOM STUDY CSTS</t>
  </si>
  <si>
    <t>REG ASSET-ENHNCD COOK PLT SECURITY COSTS</t>
  </si>
  <si>
    <t>REG ASSET-UNDERRECOVERY-DSM ENERGY OPT</t>
  </si>
  <si>
    <t>REG ASSET-DEFD SEVERANCE COSTS</t>
  </si>
  <si>
    <t>TAX DEFL - DEBT ISSUE COSTS</t>
  </si>
  <si>
    <t>CAPITALIZED SOFTWARE COST - BOOK</t>
  </si>
  <si>
    <t>U1 TX DEPR NUC FUEL</t>
  </si>
  <si>
    <t>AMORT OF NUCLEAR FUEL - UNIT 1</t>
  </si>
  <si>
    <t>U2 TX DEPR NUC FUEL</t>
  </si>
  <si>
    <t>AMORT OF NUCLEAR FUEL - UNIT 2</t>
  </si>
  <si>
    <t>NUC DECOM TRUST-SFAS 143-ARO-BK</t>
  </si>
  <si>
    <t>U1-BK DEFD NUC REFUEL COSTS</t>
  </si>
  <si>
    <t>U2-BK DEFD NUC REFUEL COSTS</t>
  </si>
  <si>
    <t>BK DEFD COOK RESTART COSTS</t>
  </si>
  <si>
    <t>REG ASSET - REACQ DEBT-RKPT U2</t>
  </si>
  <si>
    <t>POST RETIREMENT BEN - PAYMENT</t>
  </si>
  <si>
    <t>DEFD EARN-POST RETIRE BEN PYMT</t>
  </si>
  <si>
    <t>SFAS 106 PST RETIREMENT EXP - NON-DEDUCT CONT</t>
  </si>
  <si>
    <t>IND GROSS REC TAX-A/C 283-CUR</t>
  </si>
  <si>
    <t>BK DEFL - MERGER COSTS</t>
  </si>
  <si>
    <t xml:space="preserve">IRS AUDIT SETTLEMENTS </t>
  </si>
  <si>
    <t>ADIT FED HDG CF INT RATE 2830015</t>
  </si>
  <si>
    <t>DEFERRED ITC - 46(F)(1)</t>
  </si>
  <si>
    <t>NOL &amp; TAX CREDIT C/F-DEF TAX ASSET</t>
  </si>
  <si>
    <t>INT EXP CAPD - COOK U2 STEAM</t>
  </si>
  <si>
    <t>TXBL INT INC CAP FOR NK-BFSHAW</t>
  </si>
  <si>
    <t>INT EXP CAPD TAX - RKPT SPARES</t>
  </si>
  <si>
    <t>CIAC - BOOK RECEIPTS</t>
  </si>
  <si>
    <t>CUST ADV INC FOR TAX</t>
  </si>
  <si>
    <t>PROPERTY TAX-NEW METHOD-BOOK</t>
  </si>
  <si>
    <t>PROV FOR REFUND - FERC TRANS</t>
  </si>
  <si>
    <t>PROVS POSS REV REFD- FR</t>
  </si>
  <si>
    <t>DEFD BK GAIN-RKPT S SALE/LEASE</t>
  </si>
  <si>
    <t>MARK &amp; SPREAD - DEFL - 190 A/L</t>
  </si>
  <si>
    <t>PROV POSS PEN PYMTS</t>
  </si>
  <si>
    <t>ACCRUED BK PENSION COST - SFAS 158</t>
  </si>
  <si>
    <t>SUPPLEMENTAL EXECUTIVE RETIREMENT PLAN</t>
  </si>
  <si>
    <t>ACCRD SUP EXEC RETIRE PLAN COSTS - SFAS 158</t>
  </si>
  <si>
    <t>ACCRD BK SUP. SAVINGS PL</t>
  </si>
  <si>
    <t>EMPLOYERS SAVINGS PLAN MATCH</t>
  </si>
  <si>
    <t xml:space="preserve">ACCRUED BK BENEFIT COSTS </t>
  </si>
  <si>
    <t>PROVISION FOR R &amp; D WASTE ACCRUAL</t>
  </si>
  <si>
    <t>PROVISION FOR LITIGATION</t>
  </si>
  <si>
    <t>ACCRD ENVIRONMENTAL LIAB - CURRENT</t>
  </si>
  <si>
    <t>ACCRD ENVIRONMENTAL LIAB - LONG-TERM</t>
  </si>
  <si>
    <t>ACCRUED LEASE LIABILITY - FORT WAYNE</t>
  </si>
  <si>
    <t>ACCRD SEMCO ENVIRON REMEDIATION CSTS</t>
  </si>
  <si>
    <t>ACCRUED BK SEI EMP BENEFIT COSTS</t>
  </si>
  <si>
    <t>ACCRUED BK SEVERANCE BENEFIT</t>
  </si>
  <si>
    <t>FRT WAYNE CITY LGTS SETTLEMENT</t>
  </si>
  <si>
    <t>ACCRUED INTEREST - LONG TERM - FIN 48</t>
  </si>
  <si>
    <t>ACCRUED INTEREST - SHORT TERM - FIN 48</t>
  </si>
  <si>
    <t>STATE MITIGATION PROGRAMS</t>
  </si>
  <si>
    <t>SM-OVER RECOVD RCS COSTS-DEFL</t>
  </si>
  <si>
    <t>TAX&gt;BOOK BASIS-EMA-A/C-190</t>
  </si>
  <si>
    <t>DEFD BK GAIN-NON-AFF SALE-EMA</t>
  </si>
  <si>
    <t>DEFD BK LOSS-NON-AFF SALE-EMA</t>
  </si>
  <si>
    <t>DEFD TAX LOSS-INTERCO SALE-EMA</t>
  </si>
  <si>
    <t>REG LIAB - UNREAL MTM GAIN - DEFL</t>
  </si>
  <si>
    <t>REG LIAB - SFAS 143-ARO</t>
  </si>
  <si>
    <t>INSTALL ALLOWANCES CAPD - TAX</t>
  </si>
  <si>
    <t>SM-DEFD PRE 4 7 83 DISP COSTS</t>
  </si>
  <si>
    <t>SI-DEFD PRE 4 7 83 DISP COSTS</t>
  </si>
  <si>
    <t>FR-DEFD PRE 4 7 83 DISP COSTS</t>
  </si>
  <si>
    <t>TC-DEFD PRE 4 7 83 DISP</t>
  </si>
  <si>
    <t>AMORT SNF DISPOSAL CONTAINER COSTS</t>
  </si>
  <si>
    <t>FR-AMORT INT PRE 4 7 83 DISP</t>
  </si>
  <si>
    <t>SI-AMORT INT PRE 4 7 83 DISP</t>
  </si>
  <si>
    <t>SM-AMORT INT PRE 4 7 83 DISP</t>
  </si>
  <si>
    <t>TC-ACC INT PRE 4 7 83 DISP CST</t>
  </si>
  <si>
    <t>BK EXP NUC FUEL DECONTAM FUND</t>
  </si>
  <si>
    <t>SM-ACC NQ NUC DECOM EXP - RATES</t>
  </si>
  <si>
    <t>SI-ACC NQ NUC DECOM EXP - RATES</t>
  </si>
  <si>
    <t>FR-ACC NQ NUC DECOM EXP - RATES</t>
  </si>
  <si>
    <t>SM-ACC NQ NUC DCM EXP-NQ TR INC</t>
  </si>
  <si>
    <t>SI-ACC NQ NUC DCM EXP-NQ TR INC</t>
  </si>
  <si>
    <t>FR-ACC NQ NUC DCM EXP-NQ TR INC</t>
  </si>
  <si>
    <t>BK DEFL - GAIN REACQUIRED DEBT</t>
  </si>
  <si>
    <t>ACCRD SFAS 112 PST EMPLY BEN</t>
  </si>
  <si>
    <t>BK PROV-W/O DEFD SFAS 106 BAL</t>
  </si>
  <si>
    <t>AMORT STEP-UP ITC TO TI-RKPT 2</t>
  </si>
  <si>
    <t xml:space="preserve">ACCRD SIT TX RES - LONG TERM - FIN 48 </t>
  </si>
  <si>
    <t xml:space="preserve">ACCRD SIT TX RES - SHORT TERM - FIN 48 </t>
  </si>
  <si>
    <t>CAPITALIZED COOK COSTS - TAX</t>
  </si>
  <si>
    <t>1977-1980 IRS AUDIT SETTLEMENT</t>
  </si>
  <si>
    <t>1981-1982 IRS AUDIT SETTLEMENT</t>
  </si>
  <si>
    <t>1988-1990 IRS AUDIT SETTLEMENT</t>
  </si>
  <si>
    <t>1997-1999 IRS AUDIT SETTLEMENT</t>
  </si>
  <si>
    <t>2000-2003 IRS AUDIT SETTLEMENT</t>
  </si>
  <si>
    <t>DEFD FIT - CAPITAL LOSS CFWD</t>
  </si>
  <si>
    <t xml:space="preserve">DEFD STATE INCOME TAXES  </t>
  </si>
  <si>
    <t xml:space="preserve">DEFD STATE INCOME TAXES - FIN 48 </t>
  </si>
  <si>
    <t>ADIT FED HDG CF INT RATE 1900015</t>
  </si>
  <si>
    <t>NON-UTILITY DEFERRED SIT  1902002</t>
  </si>
  <si>
    <t>KENTUCKY POWER COMPANY</t>
  </si>
  <si>
    <t>NON-UTILITY DEFERRED FIT 281.2</t>
  </si>
  <si>
    <t>EXCESS FIT % RATE CHANGE</t>
  </si>
  <si>
    <t>EX L/T DFIT TX RESERVE - 1986 TRA</t>
  </si>
  <si>
    <t>CAPD INTEREST-SECTION 481(a)-CHANGE IN METHOD</t>
  </si>
  <si>
    <t>RELOCATION CST-SECTION 481(a)-CHANGE IN METHOD</t>
  </si>
  <si>
    <t>PJM INTEGRATION-SECTION 481(a)-INTANG-DFD LABOR</t>
  </si>
  <si>
    <t>R &amp; D DEDUCTION SECTION 174</t>
  </si>
  <si>
    <t xml:space="preserve">ACRS  NORM-HRJ </t>
  </si>
  <si>
    <t>GAIN/LOSS ON ACRS/MACRS-BK/TX UNIT PROPERTY</t>
  </si>
  <si>
    <t>ABFUDC- HRJ POST IN-SERVICE</t>
  </si>
  <si>
    <t>ABFUDC-HRJ</t>
  </si>
  <si>
    <t>DEFD FUEL CUR SETUP - A/C 283</t>
  </si>
  <si>
    <t>DEFD FUEL ACC REVS A/C 283</t>
  </si>
  <si>
    <t>DEFD FUEL REG ADJ A/C 283</t>
  </si>
  <si>
    <t>BOOK PROV UNCOLL ACCTS</t>
  </si>
  <si>
    <t>BOOK DEFL - DEMAND SIDE MNGMT EXP</t>
  </si>
  <si>
    <t>BOOK &gt; TAX BASIS - EMA-A/C283</t>
  </si>
  <si>
    <t>REG ASSET-SFAS 158 - PENSIONS</t>
  </si>
  <si>
    <t>REG ASSET-SFAS 158 - SERP</t>
  </si>
  <si>
    <t>REG ASSET-SFAS 158 - OPEB</t>
  </si>
  <si>
    <t>NON-UTILITY DEFERRED FIT 283.2</t>
  </si>
  <si>
    <t>ADIT - FED-HDG-CF-INT RATE 2830015</t>
  </si>
  <si>
    <t xml:space="preserve">SFAS 109 - DEFD STATE INCOME TAXES </t>
  </si>
  <si>
    <t>DEFD FUEL EXP-CUR DEFL SET UP</t>
  </si>
  <si>
    <t>DEFD FUEL ADJ-ACCRD UTIL REVS</t>
  </si>
  <si>
    <t>DEFD FUEL ADJ-REG</t>
  </si>
  <si>
    <t>PROV POSS REV REFDS</t>
  </si>
  <si>
    <t>MTM BK LOSS-A/L-TAX DEFL</t>
  </si>
  <si>
    <t>ACCRD SUP EXEC RETIR PLAN COSTS-SFAS 158</t>
  </si>
  <si>
    <t>ACCRUED BOOK SEVERANCE BENEFITS</t>
  </si>
  <si>
    <t>ACCRUED INTEREST - LONG-TERM-FIN48</t>
  </si>
  <si>
    <t>ACCRUED INTRST  SHORT-TERM-FIN48</t>
  </si>
  <si>
    <t>ACCRUED STATE INCOME TAX EXP</t>
  </si>
  <si>
    <t>DEFERRED STORM DAMAGE</t>
  </si>
  <si>
    <t>REG LIAB-UNREAL MTM GAIN-DEFL</t>
  </si>
  <si>
    <t>SFAS 106 PST RETIRE EXP- NON-DEDUCT CONT</t>
  </si>
  <si>
    <t>ACCRD SFAS 112 PST EMPLOY BEN</t>
  </si>
  <si>
    <t>ACCRD BOOK ARO EXPENSE - SFAS 143</t>
  </si>
  <si>
    <t>FIN 48 DSIT</t>
  </si>
  <si>
    <t xml:space="preserve">ACCRD SALES &amp; USE TAX RESERVE </t>
  </si>
  <si>
    <t>ACCRD SIT TX RESERVE - LNG-TERM-FIN 48</t>
  </si>
  <si>
    <t>ACCRD SIT TX RESERVE - SHRT-TERM-FIN 48</t>
  </si>
  <si>
    <t>AMT CREDIT - DEFERRED</t>
  </si>
  <si>
    <t>ADIT-FED-HDG-CF-INT RATE1900015</t>
  </si>
  <si>
    <t>KINGSPORT POWER COMPANY</t>
  </si>
  <si>
    <t>BOOK VS TAX DEPRECIATION</t>
  </si>
  <si>
    <t xml:space="preserve">CAPD INTEREST-SECTION 481 (a)-CHG IN METHOD </t>
  </si>
  <si>
    <t xml:space="preserve">RELOCATION COST-SECTION 481 (a) </t>
  </si>
  <si>
    <t>DEFD RTO EXPENSES</t>
  </si>
  <si>
    <t>REG ASSET - SFAS 158 OPEB</t>
  </si>
  <si>
    <t>DECEMBER 31, 2011</t>
  </si>
  <si>
    <t>PROVS POSS REV REFDS-A/L</t>
  </si>
  <si>
    <t>ACCRD SIT TX RES-SHRT-TERM-FIN 48</t>
  </si>
  <si>
    <t>AMT CREDIT-DEFERRED</t>
  </si>
  <si>
    <t>OHIO POWER COMPANY</t>
  </si>
  <si>
    <t>LINE</t>
  </si>
  <si>
    <t>NO.</t>
  </si>
  <si>
    <t>COOK COAL</t>
  </si>
  <si>
    <t>533A</t>
  </si>
  <si>
    <t>TAX AMORT POLLUTION CONTROL EQPT</t>
  </si>
  <si>
    <t>533C</t>
  </si>
  <si>
    <t>TAX ACCEL AMORT-GAVIN SCRUBBER</t>
  </si>
  <si>
    <t>003H</t>
  </si>
  <si>
    <t>230E</t>
  </si>
  <si>
    <t>230I</t>
  </si>
  <si>
    <t>CAPD INTEREST SECTION 481(a) - CHANGE IN METHOD</t>
  </si>
  <si>
    <t>230J</t>
  </si>
  <si>
    <t>RELOCATION COST - SECTION 481(a) - CHANGE</t>
  </si>
  <si>
    <t>230K</t>
  </si>
  <si>
    <t>PJM INTEGRATION - SEC 481(a) - INTANG DFD LABOR</t>
  </si>
  <si>
    <t>232Q</t>
  </si>
  <si>
    <t>GYPSUM WALLBOARD CONVEYOR</t>
  </si>
  <si>
    <t>280H</t>
  </si>
  <si>
    <t>280Z</t>
  </si>
  <si>
    <t>DFIT-GENERATION PLANT</t>
  </si>
  <si>
    <t>295A</t>
  </si>
  <si>
    <t>GAIN/LOSS ON ACRS/MACRS-BK/TX UNIT OF PROPERTY</t>
  </si>
  <si>
    <t>310A</t>
  </si>
  <si>
    <t>AOFUDC</t>
  </si>
  <si>
    <t>320A</t>
  </si>
  <si>
    <t>ABFUDC-C&amp;SOE GROSS METHOD(FR&amp;SO)</t>
  </si>
  <si>
    <t>ABFUDC - SMART HOUSE - LAND</t>
  </si>
  <si>
    <t>350A</t>
  </si>
  <si>
    <t>360A</t>
  </si>
  <si>
    <t>360J</t>
  </si>
  <si>
    <t>370A</t>
  </si>
  <si>
    <t>532A</t>
  </si>
  <si>
    <t>BK/TAX GAIN-SALE OF MISC PROP</t>
  </si>
  <si>
    <t>BK VS. TAX GAIN/LOSS - SPORN UNIT 5</t>
  </si>
  <si>
    <t>534A</t>
  </si>
  <si>
    <t>910A</t>
  </si>
  <si>
    <t>910K</t>
  </si>
  <si>
    <t>REMOVAL CST</t>
  </si>
  <si>
    <t>910W</t>
  </si>
  <si>
    <t>REMOVAL COSTS REV-SFAS 143-ARO</t>
  </si>
  <si>
    <t>FERC JMG ADJUSTMENT</t>
  </si>
  <si>
    <t>380V</t>
  </si>
  <si>
    <t>DEFD FUEL EXPENSE-CURRENT DEFERRAL SET-UP</t>
  </si>
  <si>
    <t>DEFD FUEL EXPENSE-OH FAC-CURRENT</t>
  </si>
  <si>
    <t>CAPD CARRY CHRG-DEFD OH DEREG</t>
  </si>
  <si>
    <t>FAC PROV-CONTRA ASSET-OH</t>
  </si>
  <si>
    <t>CARRYING CHARGES-OHIO FUEL ADJUSTMENT CLAUSE</t>
  </si>
  <si>
    <t>CARRYING CHARGES-OHIO FUEL ADJ CLAUSE-CURRENT</t>
  </si>
  <si>
    <t>DEFERRED TAX GAIN-DIVIDEND OF PARKING GARAGE</t>
  </si>
  <si>
    <t>OH UNRECOV FUEL COST RESERVE</t>
  </si>
  <si>
    <t>510I</t>
  </si>
  <si>
    <t>PROP TAX-STATE 2-OLD METHOD-TX</t>
  </si>
  <si>
    <t>DEFD TAX GAIN - DIVIDEND OF PARK GARAGE</t>
  </si>
  <si>
    <t>575E</t>
  </si>
  <si>
    <t>576E</t>
  </si>
  <si>
    <t>605B</t>
  </si>
  <si>
    <t>605C</t>
  </si>
  <si>
    <t>615R</t>
  </si>
  <si>
    <t>REG ASSET - DEFD RTO COSTS</t>
  </si>
  <si>
    <t>CCD BILL - PREPAID PENSIONS - DEFERRAL</t>
  </si>
  <si>
    <t>630M</t>
  </si>
  <si>
    <t>DEFERRED EXPENSES</t>
  </si>
  <si>
    <t>RATE CASE DEFD CHARGES</t>
  </si>
  <si>
    <t>BK DEFERRAL-DEMAND SIDE MANAGEMENT EXPENSES</t>
  </si>
  <si>
    <t>632Y</t>
  </si>
  <si>
    <t>BK DEFL-COOK COAL T LEASE CSTS</t>
  </si>
  <si>
    <t>PILOT OBLIGATIONS - PLANT ACQUISITIONS</t>
  </si>
  <si>
    <t>637C</t>
  </si>
  <si>
    <t>BK INVEST-AEPC IN-KIND SERVICES</t>
  </si>
  <si>
    <t>638A</t>
  </si>
  <si>
    <t>639C</t>
  </si>
  <si>
    <t>DEFD BK LOSS - NON-AFF SALE - EMA</t>
  </si>
  <si>
    <t>639Q</t>
  </si>
  <si>
    <t>640K</t>
  </si>
  <si>
    <t>640M</t>
  </si>
  <si>
    <t>DEFD BOOK GAIN-EPA AUCTION</t>
  </si>
  <si>
    <t>660O</t>
  </si>
  <si>
    <t>REG LIAB - UNUSED SHOPPING INCENTIVES</t>
  </si>
  <si>
    <t>660S</t>
  </si>
  <si>
    <t>REG ASSET - DEFD RSP FILING COSTS</t>
  </si>
  <si>
    <t>660T</t>
  </si>
  <si>
    <t>REG ASSET - EXT OF LOCAL FACILITIES</t>
  </si>
  <si>
    <t>660V</t>
  </si>
  <si>
    <t>REG ASSET - DEFD DEREG CARRY CHARGE COSTS</t>
  </si>
  <si>
    <t>REG ASSET - UNDERRECOVERY-OHIO TCR RIDER</t>
  </si>
  <si>
    <t>661P</t>
  </si>
  <si>
    <t>REG ASSET - OHIO STORM RECOVERY</t>
  </si>
  <si>
    <t>661R</t>
  </si>
  <si>
    <t>REG ASSET - SFAS 158-PENSIONS</t>
  </si>
  <si>
    <t>661S</t>
  </si>
  <si>
    <t>REG ASSET - SFAS 158-SERP</t>
  </si>
  <si>
    <t>661T</t>
  </si>
  <si>
    <t>REG ASSET - SFAS 158-OPEB</t>
  </si>
  <si>
    <t>REG ASSET - UNDERRECOVERY ESRP COSTS-OH</t>
  </si>
  <si>
    <t>REG ASSET - EDR - ORMET CARRYING COSTS</t>
  </si>
  <si>
    <t xml:space="preserve">REG ASSET - EDR - ORMET </t>
  </si>
  <si>
    <t>REG ASSET - EDR - EXCESS EDR CAP DEFERRAL</t>
  </si>
  <si>
    <t>REG ASSET - EXCESS EDR CAP DEF-CAR COSTS</t>
  </si>
  <si>
    <t>REG ASSET-DARR-UNRECOGNIZED EQUITY CARRY CHG</t>
  </si>
  <si>
    <t>REG ASSET-DARR-CARRYING CHARGES</t>
  </si>
  <si>
    <t>REG ASSET-DARR-DISTRIBUTION DEFERRED ASSETS</t>
  </si>
  <si>
    <t>REG ASSET-DEFD RECOVERABLE DISTR ASSET</t>
  </si>
  <si>
    <t>GOODWILL PER TAX</t>
  </si>
  <si>
    <t>711O</t>
  </si>
  <si>
    <t>712K</t>
  </si>
  <si>
    <t>900A</t>
  </si>
  <si>
    <t>906D</t>
  </si>
  <si>
    <t>SFAS 106 POST RETIRE EXP - NON-DEDUCT CONT</t>
  </si>
  <si>
    <t>911H</t>
  </si>
  <si>
    <t>STATE TAX EXPENSE</t>
  </si>
  <si>
    <t>914K</t>
  </si>
  <si>
    <t>G B/S</t>
  </si>
  <si>
    <t>ADIT FED - SFAS 133 NONAFFIL 2830006</t>
  </si>
  <si>
    <t>ADIT FED - HDG-CF-INT RATE 28300015</t>
  </si>
  <si>
    <t>ADIT FED - HDG-CF-FOR EXCHG 28300016</t>
  </si>
  <si>
    <t>DEFERRED STATE INCOME TAX</t>
  </si>
  <si>
    <t>B/Ss</t>
  </si>
  <si>
    <t>T&amp;D</t>
  </si>
  <si>
    <t>012K</t>
  </si>
  <si>
    <t>TAX ALLOC-ITC-10%-46F1</t>
  </si>
  <si>
    <t>PERIOD ENDING DECEMBER 31,  2011</t>
  </si>
  <si>
    <t>SEC ALLOC - ITC - GENERATION PLANT</t>
  </si>
  <si>
    <t>IGCC REVENUES</t>
  </si>
  <si>
    <t>CIAC-BOOK RECEIPTS</t>
  </si>
  <si>
    <t>TAXABLE GRANTS-CAPITAL PORTION</t>
  </si>
  <si>
    <t>LOSS ON DISP OF PROP - SFAS 143 - ARO -BK</t>
  </si>
  <si>
    <t>DEFD BK GAIN-FUEL CONTRACT TERMINATION</t>
  </si>
  <si>
    <t>MARK &amp; SPREAD - DEFL - 190 - A/L</t>
  </si>
  <si>
    <t>PROV WORKER'S COMP</t>
  </si>
  <si>
    <t>ACCRD SUP EXEC RET PLAN CST - SFAS 158</t>
  </si>
  <si>
    <t>ACCRUED BK SUP SAVINGS PLAN EXP</t>
  </si>
  <si>
    <t>ACCRUED BK BENEFIT COSTS</t>
  </si>
  <si>
    <t>BK ACCRD CUST EDUC FUND REIMB</t>
  </si>
  <si>
    <t>BK PROV-LT COAL NOTE RECEIVABLE</t>
  </si>
  <si>
    <t>PROV-TRADING CREDIT RISK - A/L</t>
  </si>
  <si>
    <t>PROV-FAS 157 - A/L</t>
  </si>
  <si>
    <t>PIP CUSTOMER BAD DEBTS - BOOK</t>
  </si>
  <si>
    <t>DEFD COMPENSATION-BOOK EXPENSE</t>
  </si>
  <si>
    <t>BK LOSS PROV - PLANT M&amp;S</t>
  </si>
  <si>
    <t>ACCRD ENVIRONMENTAL LIAB-CURRENT</t>
  </si>
  <si>
    <t>ACCRUED PARTNERSHIP W/OH-NONCURRENT</t>
  </si>
  <si>
    <t>ACCRUED PARTNERSHIP W/OH-CURRENT</t>
  </si>
  <si>
    <t>ACCRUED OH GROWTH FUND-NONCURRENT</t>
  </si>
  <si>
    <t>ACCRUED OH GROWTH FUND-CURRENT</t>
  </si>
  <si>
    <t>BK ACCRUAL -COOK CT RENT HOLIDAY</t>
  </si>
  <si>
    <t>ACCRUED INTEREST - L/T - FIN 48</t>
  </si>
  <si>
    <t>ACCRUED INTEREST - S/T - FIN 48</t>
  </si>
  <si>
    <t>ACCRD LOW INCOME HOUSING OBLIGATIONS</t>
  </si>
  <si>
    <t>PROV LOSS-CAR CHG-PURCHASED EMA</t>
  </si>
  <si>
    <t>CCD BILL-DFRD RETIRE BENEFITS-DFL</t>
  </si>
  <si>
    <t>DEFD CREDITS - DEFD DEPR &amp; CAPACITY CST</t>
  </si>
  <si>
    <t>TX DFL JT POLE ATT COSTS</t>
  </si>
  <si>
    <t>BK ACC MIN RENTS-GAVIN SCRUB</t>
  </si>
  <si>
    <t>TAX &gt; BOOK BASIS - EMA - A/C 190</t>
  </si>
  <si>
    <t>DEFD TX LOSS - INTERCO SALE - EMA</t>
  </si>
  <si>
    <t>BK AMORT-QUAL OF SRVC ENHANCE</t>
  </si>
  <si>
    <t>DEFD CREDITS - EXT OF LOCAL FACILITIES</t>
  </si>
  <si>
    <t>REG LIAB - DEFD DEREG CARRY CHARGE COSTS</t>
  </si>
  <si>
    <t>DEFD REV-BONUS LEASE SHORT-TERM</t>
  </si>
  <si>
    <t>DEFD REV-BONUS LEASE LONG-TERM</t>
  </si>
  <si>
    <t>IMPAIRED ASSETS RES - FAS 121 - BK</t>
  </si>
  <si>
    <t>AMORT - GOODWILL PER BOOKS</t>
  </si>
  <si>
    <t>BK CAPD SETTLEMENT CHARGES</t>
  </si>
  <si>
    <t>ACCRUED OPEB COSTS - SFAS 158</t>
  </si>
  <si>
    <t>SFAS 106-MEDICARE SUBSIDY-NORM-(PPACA)</t>
  </si>
  <si>
    <t>REMOVAL COST CAPD-BK/TX UNIT OF PROP</t>
  </si>
  <si>
    <t>STATE TAX EXPENSED</t>
  </si>
  <si>
    <t xml:space="preserve">ACCRD SIT TX RESERVE - L/T - FIN 48 </t>
  </si>
  <si>
    <t xml:space="preserve">ACCRD SIT TX RESERVE - SHRT - FIN 48 </t>
  </si>
  <si>
    <t>BOOK &gt; TAX BASIS - PARTNERSHIP INVEST</t>
  </si>
  <si>
    <t>CHARITABLE CONTRIBUTION CARRYFORWARD</t>
  </si>
  <si>
    <t>ACCRUED WV B&amp;O TAX RESERVE</t>
  </si>
  <si>
    <t>SO2 ALLOWANCE PROVISION-OH VALUATION</t>
  </si>
  <si>
    <t>AMORT 77-80 IRS SETTLEMENT</t>
  </si>
  <si>
    <t>AMORT 85-87 IRS SETTLEMENT</t>
  </si>
  <si>
    <t>AMORT 88-90 IRS SETTLEMENT</t>
  </si>
  <si>
    <t>AMORT 91-96 IRS SETTLEMENT</t>
  </si>
  <si>
    <t>AMORT 1997-2003 IRS SETTLEMENT</t>
  </si>
  <si>
    <t>ADIT FED - HEDGE-CF-FOR EXCHG 1900016</t>
  </si>
  <si>
    <t>WHEELING POWER COMPANY</t>
  </si>
  <si>
    <t>CAPD INTEREST SECTION 481A-CHANGE IN METHOD</t>
  </si>
  <si>
    <t>RELOCATION CST - SECT 481A - CHANGE IN METHOD</t>
  </si>
  <si>
    <t>BK PLANT IN SERVICE - SFAS 143 ARO</t>
  </si>
  <si>
    <t>CAPD RELOCATION COSTS</t>
  </si>
  <si>
    <t>REG ASSET - SFAS 143-ARO</t>
  </si>
  <si>
    <t>REG ASSET - SFAS 158 PENSIONS</t>
  </si>
  <si>
    <t>BOOK LEASES CAP'D FOR TAX</t>
  </si>
  <si>
    <t>SW OVER RECOVERY OF FUEL</t>
  </si>
  <si>
    <t>SW UNDER RECOVERY OF FUEL</t>
  </si>
  <si>
    <t>ACCRUED INTEREST LONG TERM FIN 48</t>
  </si>
  <si>
    <t>ACCRUED INTEREST SHORT TERM FIN 48</t>
  </si>
  <si>
    <t>ACCRD SFAS 106 PST RETIRE EXP NON DEDUCT</t>
  </si>
  <si>
    <t>ACCRD BOOK ARO EXPENSE SFAS 143</t>
  </si>
  <si>
    <t>ACCRD SIT TX RES LONG TERM FIN 48</t>
  </si>
  <si>
    <t>ACCRD SIT TX RES SHRT TERM FIN 48</t>
  </si>
  <si>
    <t>NON-UTILITY DEFERRED FIT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</si>
</sst>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#,##0.000_);\(#,##0.000\)"/>
    <numFmt numFmtId="167" formatCode="_(* #,##0.0_);_(* \(#,##0.0\);_(* &quot;-&quot;??_);_(@_)"/>
    <numFmt numFmtId="168" formatCode="#,##0.0"/>
    <numFmt numFmtId="169" formatCode="#,##0.000"/>
    <numFmt numFmtId="170" formatCode="#,##0.0000_);\(#,##0.0000\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0"/>
      <color indexed="10"/>
      <name val="Arial"/>
      <family val="2"/>
    </font>
    <font>
      <b/>
      <sz val="12"/>
      <name val="Arial"/>
      <family val="0"/>
    </font>
    <font>
      <u val="single"/>
      <sz val="12"/>
      <name val="Arial"/>
      <family val="0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3" fontId="26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0">
    <xf numFmtId="3" fontId="4" fillId="0" borderId="0" xfId="0" applyNumberFormat="1" applyFont="1" applyAlignment="1" applyProtection="1">
      <alignment/>
      <protection locked="0"/>
    </xf>
    <xf numFmtId="3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3" fontId="4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3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7" fontId="0" fillId="0" borderId="1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" fontId="1" fillId="0" borderId="0" xfId="0" applyFont="1" applyFill="1" applyAlignment="1">
      <alignment horizontal="left"/>
    </xf>
    <xf numFmtId="37" fontId="0" fillId="24" borderId="0" xfId="0" applyNumberFormat="1" applyFont="1" applyFill="1" applyAlignment="1">
      <alignment/>
    </xf>
    <xf numFmtId="37" fontId="0" fillId="25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4" fillId="0" borderId="0" xfId="0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1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" fontId="0" fillId="0" borderId="0" xfId="0" applyFont="1" applyFill="1" applyAlignment="1">
      <alignment horizontal="right"/>
    </xf>
    <xf numFmtId="3" fontId="0" fillId="0" borderId="0" xfId="0" applyFill="1" applyAlignment="1">
      <alignment horizontal="right"/>
    </xf>
    <xf numFmtId="3" fontId="0" fillId="0" borderId="0" xfId="57" applyNumberFormat="1" applyFont="1" applyFill="1" applyAlignment="1">
      <alignment/>
      <protection/>
    </xf>
    <xf numFmtId="37" fontId="0" fillId="4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Font="1" applyFill="1" applyAlignment="1">
      <alignment horizontal="left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0" fillId="0" borderId="0" xfId="0" applyFont="1" applyFill="1" applyAlignment="1">
      <alignment horizontal="right"/>
    </xf>
    <xf numFmtId="3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Font="1" applyFill="1" applyAlignment="1">
      <alignment horizontal="center"/>
    </xf>
    <xf numFmtId="3" fontId="4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center"/>
    </xf>
    <xf numFmtId="3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14" xfId="0" applyNumberFormat="1" applyFont="1" applyFill="1" applyBorder="1" applyAlignment="1">
      <alignment/>
    </xf>
    <xf numFmtId="3" fontId="1" fillId="0" borderId="0" xfId="0" applyFont="1" applyFill="1" applyAlignment="1" quotePrefix="1">
      <alignment horizontal="left"/>
    </xf>
    <xf numFmtId="3" fontId="4" fillId="0" borderId="0" xfId="0" applyNumberFormat="1" applyFont="1" applyFill="1" applyAlignment="1">
      <alignment horizontal="center"/>
    </xf>
    <xf numFmtId="37" fontId="0" fillId="0" borderId="0" xfId="42" applyNumberFormat="1" applyFont="1" applyFill="1" applyAlignment="1">
      <alignment/>
    </xf>
    <xf numFmtId="3" fontId="0" fillId="0" borderId="0" xfId="0" applyFill="1" applyAlignment="1">
      <alignment/>
    </xf>
    <xf numFmtId="3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37" fontId="27" fillId="0" borderId="0" xfId="0" applyNumberFormat="1" applyFont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" fontId="1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0" fillId="0" borderId="0" xfId="0" applyFill="1" applyAlignment="1">
      <alignment horizontal="left"/>
    </xf>
    <xf numFmtId="37" fontId="27" fillId="0" borderId="0" xfId="0" applyNumberFormat="1" applyFont="1" applyFill="1" applyAlignment="1">
      <alignment/>
    </xf>
    <xf numFmtId="37" fontId="0" fillId="0" borderId="11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 horizontal="left"/>
    </xf>
    <xf numFmtId="3" fontId="4" fillId="0" borderId="0" xfId="0" applyNumberFormat="1" applyFont="1" applyFill="1" applyAlignment="1" applyProtection="1">
      <alignment/>
      <protection locked="0"/>
    </xf>
    <xf numFmtId="3" fontId="28" fillId="0" borderId="0" xfId="0" applyFont="1" applyFill="1" applyAlignment="1">
      <alignment horizontal="left"/>
    </xf>
    <xf numFmtId="3" fontId="26" fillId="0" borderId="0" xfId="0" applyNumberFormat="1" applyFont="1" applyFill="1" applyAlignment="1">
      <alignment/>
    </xf>
    <xf numFmtId="3" fontId="26" fillId="0" borderId="0" xfId="0" applyFont="1" applyFill="1" applyAlignment="1">
      <alignment/>
    </xf>
    <xf numFmtId="37" fontId="26" fillId="0" borderId="0" xfId="0" applyNumberFormat="1" applyFont="1" applyFill="1" applyAlignment="1">
      <alignment/>
    </xf>
    <xf numFmtId="37" fontId="26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 quotePrefix="1">
      <alignment horizontal="center"/>
    </xf>
    <xf numFmtId="37" fontId="3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 applyProtection="1">
      <alignment/>
      <protection locked="0"/>
    </xf>
    <xf numFmtId="3" fontId="26" fillId="0" borderId="0" xfId="0" applyNumberFormat="1" applyFont="1" applyFill="1" applyAlignment="1">
      <alignment horizontal="left"/>
    </xf>
    <xf numFmtId="3" fontId="26" fillId="0" borderId="0" xfId="0" applyFont="1" applyFill="1" applyAlignment="1">
      <alignment horizontal="center"/>
    </xf>
    <xf numFmtId="3" fontId="29" fillId="0" borderId="0" xfId="0" applyFont="1" applyFill="1" applyAlignment="1">
      <alignment horizontal="center"/>
    </xf>
    <xf numFmtId="3" fontId="26" fillId="0" borderId="0" xfId="0" applyNumberFormat="1" applyFont="1" applyFill="1" applyAlignment="1">
      <alignment horizontal="centerContinuous"/>
    </xf>
    <xf numFmtId="3" fontId="29" fillId="0" borderId="0" xfId="0" applyNumberFormat="1" applyFont="1" applyFill="1" applyAlignment="1">
      <alignment horizontal="centerContinuous"/>
    </xf>
    <xf numFmtId="3" fontId="26" fillId="0" borderId="10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37" fontId="26" fillId="0" borderId="0" xfId="0" applyNumberFormat="1" applyFont="1" applyFill="1" applyAlignment="1">
      <alignment horizontal="center"/>
    </xf>
    <xf numFmtId="3" fontId="26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EMENT A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7"/>
  <sheetViews>
    <sheetView tabSelected="1" showOutlineSymbols="0" zoomScale="87" zoomScaleNormal="87" zoomScaleSheetLayoutView="75" zoomScalePageLayoutView="0" workbookViewId="0" topLeftCell="A1">
      <selection activeCell="A1" sqref="A1"/>
    </sheetView>
  </sheetViews>
  <sheetFormatPr defaultColWidth="12.7109375" defaultRowHeight="12.75"/>
  <cols>
    <col min="1" max="1" width="4.57421875" style="7" customWidth="1"/>
    <col min="2" max="2" width="56.140625" style="2" customWidth="1"/>
    <col min="3" max="3" width="14.57421875" style="2" customWidth="1"/>
    <col min="4" max="4" width="14.7109375" style="2" customWidth="1"/>
    <col min="5" max="5" width="14.421875" style="2" customWidth="1"/>
    <col min="6" max="6" width="17.00390625" style="2" customWidth="1"/>
    <col min="7" max="7" width="16.7109375" style="2" customWidth="1"/>
    <col min="8" max="8" width="3.8515625" style="2" customWidth="1"/>
    <col min="9" max="11" width="16.7109375" style="2" customWidth="1"/>
    <col min="12" max="12" width="4.140625" style="2" customWidth="1"/>
    <col min="13" max="13" width="14.00390625" style="2" customWidth="1"/>
    <col min="14" max="14" width="15.8515625" style="2" customWidth="1"/>
    <col min="15" max="15" width="15.140625" style="2" customWidth="1"/>
    <col min="16" max="16" width="2.421875" style="2" customWidth="1"/>
    <col min="17" max="17" width="14.00390625" style="2" customWidth="1"/>
    <col min="18" max="18" width="15.8515625" style="2" customWidth="1"/>
    <col min="19" max="19" width="16.8515625" style="2" customWidth="1"/>
    <col min="20" max="16384" width="12.7109375" style="2" customWidth="1"/>
  </cols>
  <sheetData>
    <row r="1" spans="2:19" ht="12.75">
      <c r="B1" s="20" t="s">
        <v>67</v>
      </c>
      <c r="G1" s="1"/>
      <c r="H1" s="1"/>
      <c r="I1" s="1"/>
      <c r="J1" s="1"/>
      <c r="K1" s="1"/>
      <c r="L1" s="1"/>
      <c r="S1" s="1"/>
    </row>
    <row r="2" spans="2:19" ht="12.75">
      <c r="B2" s="20" t="s">
        <v>0</v>
      </c>
      <c r="G2" s="1"/>
      <c r="H2" s="1"/>
      <c r="I2" s="1"/>
      <c r="J2" s="1"/>
      <c r="K2" s="1"/>
      <c r="L2" s="1"/>
      <c r="S2" s="1"/>
    </row>
    <row r="3" ht="12.75">
      <c r="B3" s="20" t="s">
        <v>127</v>
      </c>
    </row>
    <row r="4" spans="7:12" ht="12.75">
      <c r="G4" s="8" t="s">
        <v>1</v>
      </c>
      <c r="H4" s="8"/>
      <c r="I4" s="8"/>
      <c r="J4" s="8"/>
      <c r="K4" s="8"/>
      <c r="L4" s="8"/>
    </row>
    <row r="5" ht="12.75">
      <c r="B5" s="9"/>
    </row>
    <row r="8" spans="2:19" ht="12.7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60</v>
      </c>
      <c r="O8" s="4" t="s">
        <v>61</v>
      </c>
      <c r="Q8" s="4" t="s">
        <v>62</v>
      </c>
      <c r="R8" s="4" t="s">
        <v>63</v>
      </c>
      <c r="S8" s="4" t="s">
        <v>64</v>
      </c>
    </row>
    <row r="10" spans="3:19" ht="12.7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66</v>
      </c>
      <c r="J10" s="10"/>
      <c r="K10" s="10"/>
      <c r="L10" s="12"/>
      <c r="M10" s="13" t="s">
        <v>129</v>
      </c>
      <c r="N10" s="10"/>
      <c r="O10" s="10"/>
      <c r="Q10" s="13" t="s">
        <v>123</v>
      </c>
      <c r="R10" s="10"/>
      <c r="S10" s="10"/>
    </row>
    <row r="11" spans="3:19" ht="12.7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3:12" ht="12.7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2:19" ht="12.75">
      <c r="B13" s="4" t="s">
        <v>18</v>
      </c>
      <c r="C13" s="4" t="s">
        <v>128</v>
      </c>
      <c r="D13" s="4" t="s">
        <v>122</v>
      </c>
      <c r="E13" s="4" t="s">
        <v>128</v>
      </c>
      <c r="F13" s="4" t="s">
        <v>122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5" spans="2:19" ht="12.75">
      <c r="B15" s="3" t="s">
        <v>23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9" ht="12.75"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16">
        <v>1</v>
      </c>
      <c r="B17" s="3" t="s">
        <v>85</v>
      </c>
      <c r="C17" s="5">
        <f>SUM(M17:O17)</f>
        <v>158523702.8</v>
      </c>
      <c r="D17" s="5">
        <f>SUM(Q17:S17)</f>
        <v>113323629.7</v>
      </c>
      <c r="E17" s="5"/>
      <c r="F17" s="5"/>
      <c r="G17" s="5">
        <f aca="true" t="shared" si="0" ref="G17:G23">ROUND(SUM(C17:F17)/2,0)</f>
        <v>135923666</v>
      </c>
      <c r="H17" s="5"/>
      <c r="I17" s="5">
        <f aca="true" t="shared" si="1" ref="I17:K20">(+M17+Q17)/2</f>
        <v>135923666.25</v>
      </c>
      <c r="J17" s="5">
        <f t="shared" si="1"/>
        <v>0</v>
      </c>
      <c r="K17" s="5">
        <f t="shared" si="1"/>
        <v>0</v>
      </c>
      <c r="L17" s="5"/>
      <c r="M17" s="5">
        <v>158523702.8</v>
      </c>
      <c r="N17" s="5">
        <v>0</v>
      </c>
      <c r="O17" s="5">
        <v>0</v>
      </c>
      <c r="P17" s="5"/>
      <c r="Q17" s="5">
        <v>113323629.7</v>
      </c>
      <c r="R17" s="5">
        <v>0</v>
      </c>
      <c r="S17" s="5">
        <v>0</v>
      </c>
    </row>
    <row r="18" spans="1:19" ht="12.75">
      <c r="A18" s="16">
        <f aca="true" t="shared" si="2" ref="A18:A81">A17+1</f>
        <v>2</v>
      </c>
      <c r="B18" s="1"/>
      <c r="C18" s="5">
        <f>SUM(M18:O18)</f>
        <v>0</v>
      </c>
      <c r="D18" s="5">
        <f>SUM(Q18:S18)</f>
        <v>0</v>
      </c>
      <c r="E18" s="5"/>
      <c r="F18" s="5"/>
      <c r="G18" s="5">
        <f t="shared" si="0"/>
        <v>0</v>
      </c>
      <c r="H18" s="5"/>
      <c r="I18" s="5">
        <f t="shared" si="1"/>
        <v>0</v>
      </c>
      <c r="J18" s="5">
        <f t="shared" si="1"/>
        <v>0</v>
      </c>
      <c r="K18" s="5">
        <f t="shared" si="1"/>
        <v>0</v>
      </c>
      <c r="L18" s="5"/>
      <c r="M18" s="5">
        <v>0</v>
      </c>
      <c r="N18" s="5">
        <v>0</v>
      </c>
      <c r="O18" s="5">
        <v>0</v>
      </c>
      <c r="P18" s="5"/>
      <c r="Q18" s="5">
        <v>0</v>
      </c>
      <c r="R18" s="5">
        <v>0</v>
      </c>
      <c r="S18" s="5">
        <v>0</v>
      </c>
    </row>
    <row r="19" spans="1:19" ht="12.75">
      <c r="A19" s="16">
        <f t="shared" si="2"/>
        <v>3</v>
      </c>
      <c r="B19" s="1"/>
      <c r="C19" s="5">
        <f>SUM(M19:O19)</f>
        <v>0</v>
      </c>
      <c r="D19" s="5">
        <f>SUM(Q19:S19)</f>
        <v>0</v>
      </c>
      <c r="E19" s="5"/>
      <c r="F19" s="5"/>
      <c r="G19" s="5">
        <f t="shared" si="0"/>
        <v>0</v>
      </c>
      <c r="H19" s="5"/>
      <c r="I19" s="5">
        <f t="shared" si="1"/>
        <v>0</v>
      </c>
      <c r="J19" s="5">
        <f t="shared" si="1"/>
        <v>0</v>
      </c>
      <c r="K19" s="5">
        <f t="shared" si="1"/>
        <v>0</v>
      </c>
      <c r="L19" s="5"/>
      <c r="M19" s="5">
        <v>0</v>
      </c>
      <c r="N19" s="5">
        <v>0</v>
      </c>
      <c r="O19" s="5">
        <v>0</v>
      </c>
      <c r="P19" s="5"/>
      <c r="Q19" s="5">
        <v>0</v>
      </c>
      <c r="R19" s="5">
        <v>0</v>
      </c>
      <c r="S19" s="5">
        <v>0</v>
      </c>
    </row>
    <row r="20" spans="1:19" ht="12.75">
      <c r="A20" s="16">
        <f t="shared" si="2"/>
        <v>4</v>
      </c>
      <c r="B20" s="1"/>
      <c r="C20" s="5"/>
      <c r="D20" s="5"/>
      <c r="E20" s="5"/>
      <c r="F20" s="5"/>
      <c r="G20" s="5">
        <f t="shared" si="0"/>
        <v>0</v>
      </c>
      <c r="H20" s="5"/>
      <c r="I20" s="5">
        <f t="shared" si="1"/>
        <v>0</v>
      </c>
      <c r="J20" s="5">
        <f t="shared" si="1"/>
        <v>0</v>
      </c>
      <c r="K20" s="5">
        <f t="shared" si="1"/>
        <v>0</v>
      </c>
      <c r="L20" s="5"/>
      <c r="M20" s="5">
        <v>0</v>
      </c>
      <c r="N20" s="5">
        <v>0</v>
      </c>
      <c r="O20" s="5">
        <v>0</v>
      </c>
      <c r="P20" s="5"/>
      <c r="Q20" s="5">
        <v>0</v>
      </c>
      <c r="R20" s="5">
        <v>0</v>
      </c>
      <c r="S20" s="5">
        <v>0</v>
      </c>
    </row>
    <row r="21" spans="1:19" ht="12.75">
      <c r="A21" s="16">
        <f t="shared" si="2"/>
        <v>5</v>
      </c>
      <c r="B21" s="1" t="s">
        <v>25</v>
      </c>
      <c r="C21" s="5">
        <v>0</v>
      </c>
      <c r="D21" s="5">
        <v>0</v>
      </c>
      <c r="E21" s="5">
        <f aca="true" t="shared" si="3" ref="E21:F23">-C21</f>
        <v>0</v>
      </c>
      <c r="F21" s="5">
        <f t="shared" si="3"/>
        <v>0</v>
      </c>
      <c r="G21" s="5">
        <f t="shared" si="0"/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16">
        <f t="shared" si="2"/>
        <v>6</v>
      </c>
      <c r="B22" s="1" t="s">
        <v>26</v>
      </c>
      <c r="C22" s="5">
        <v>0</v>
      </c>
      <c r="D22" s="5">
        <v>0</v>
      </c>
      <c r="E22" s="5">
        <f t="shared" si="3"/>
        <v>0</v>
      </c>
      <c r="F22" s="5">
        <f t="shared" si="3"/>
        <v>0</v>
      </c>
      <c r="G22" s="5">
        <f t="shared" si="0"/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16">
        <f t="shared" si="2"/>
        <v>7</v>
      </c>
      <c r="B23" s="1" t="s">
        <v>27</v>
      </c>
      <c r="C23" s="5">
        <v>0</v>
      </c>
      <c r="D23" s="5">
        <v>0</v>
      </c>
      <c r="E23" s="5">
        <f t="shared" si="3"/>
        <v>0</v>
      </c>
      <c r="F23" s="5">
        <f t="shared" si="3"/>
        <v>0</v>
      </c>
      <c r="G23" s="5">
        <f t="shared" si="0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16">
        <f t="shared" si="2"/>
        <v>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3.5" thickBot="1">
      <c r="A25" s="16">
        <f t="shared" si="2"/>
        <v>9</v>
      </c>
      <c r="B25" s="3" t="s">
        <v>28</v>
      </c>
      <c r="C25" s="17">
        <f aca="true" t="shared" si="4" ref="C25:N25">SUM(C17:C24)</f>
        <v>158523702.8</v>
      </c>
      <c r="D25" s="17">
        <f t="shared" si="4"/>
        <v>113323629.7</v>
      </c>
      <c r="E25" s="17">
        <f t="shared" si="4"/>
        <v>0</v>
      </c>
      <c r="F25" s="17">
        <f t="shared" si="4"/>
        <v>0</v>
      </c>
      <c r="G25" s="17">
        <f t="shared" si="4"/>
        <v>135923666</v>
      </c>
      <c r="H25" s="17"/>
      <c r="I25" s="17">
        <f>SUM(I17:I24)</f>
        <v>135923666.25</v>
      </c>
      <c r="J25" s="17">
        <f>SUM(J17:J24)</f>
        <v>0</v>
      </c>
      <c r="K25" s="17">
        <f>SUM(K17:K24)</f>
        <v>0</v>
      </c>
      <c r="L25" s="17"/>
      <c r="M25" s="17">
        <f t="shared" si="4"/>
        <v>158523702.8</v>
      </c>
      <c r="N25" s="17">
        <f t="shared" si="4"/>
        <v>0</v>
      </c>
      <c r="O25" s="17">
        <f>SUM(O17:O24)</f>
        <v>0</v>
      </c>
      <c r="P25" s="5"/>
      <c r="Q25" s="17">
        <f>SUM(Q17:Q24)</f>
        <v>113323629.7</v>
      </c>
      <c r="R25" s="17">
        <f>SUM(R17:R24)</f>
        <v>0</v>
      </c>
      <c r="S25" s="17">
        <f>SUM(S17:S24)</f>
        <v>0</v>
      </c>
    </row>
    <row r="26" spans="1:19" ht="13.5" thickTop="1">
      <c r="A26" s="16">
        <f t="shared" si="2"/>
        <v>10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5"/>
      <c r="Q26" s="18"/>
      <c r="R26" s="18"/>
      <c r="S26" s="18"/>
    </row>
    <row r="27" spans="1:19" ht="12.75">
      <c r="A27" s="16">
        <f t="shared" si="2"/>
        <v>11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16">
        <f t="shared" si="2"/>
        <v>12</v>
      </c>
      <c r="B28" s="1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16">
        <f t="shared" si="2"/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16">
        <f t="shared" si="2"/>
        <v>14</v>
      </c>
      <c r="B30" s="3" t="s">
        <v>87</v>
      </c>
      <c r="C30" s="5">
        <f aca="true" t="shared" si="5" ref="C30:C62">SUM(M30:O30)</f>
        <v>852581428.76</v>
      </c>
      <c r="D30" s="5">
        <f aca="true" t="shared" si="6" ref="D30:D62">SUM(Q30:S30)</f>
        <v>745663967.1700001</v>
      </c>
      <c r="E30" s="5"/>
      <c r="F30" s="5"/>
      <c r="G30" s="5">
        <f aca="true" t="shared" si="7" ref="G30:G48">ROUND(SUM(C30:F30)/2,0)</f>
        <v>799122698</v>
      </c>
      <c r="H30" s="5"/>
      <c r="I30" s="5">
        <f aca="true" t="shared" si="8" ref="I30:I62">(+M30+Q30)/2</f>
        <v>230511024.815</v>
      </c>
      <c r="J30" s="5">
        <f aca="true" t="shared" si="9" ref="J30:J62">(+N30+R30)/2</f>
        <v>227090734.305</v>
      </c>
      <c r="K30" s="5">
        <f aca="true" t="shared" si="10" ref="K30:K62">(+O30+S30)/2</f>
        <v>341520938.845</v>
      </c>
      <c r="L30" s="5"/>
      <c r="M30" s="5">
        <f>12675028.8+721818+113447+229558104.25+246831+840940.73+124782+1000718.04</f>
        <v>245281669.82</v>
      </c>
      <c r="N30" s="5">
        <f>527.37+95-43991.91-33501+216499041.15+1800377+1052723+25038189</f>
        <v>244313459.61</v>
      </c>
      <c r="O30" s="5">
        <f>50261.54+9113+11826.24+2133+305102308.5+54001+835189.1+56921466.75+0.2</f>
        <v>362986299.33</v>
      </c>
      <c r="P30" s="5"/>
      <c r="Q30" s="5">
        <f>1092522.53+135804+808486.98+254560+202142217.15+151965+721818+10433006.15</f>
        <v>215740379.81</v>
      </c>
      <c r="R30" s="5">
        <f>527.37+95-45372.82+-33217+184044047.6+1888928+1052723+22960277.85</f>
        <v>209868009</v>
      </c>
      <c r="S30" s="5">
        <f>52284.84+8064+6098.27+8419+267555578.3+134395+835189.1+51455549.65+0.2</f>
        <v>320055578.36</v>
      </c>
    </row>
    <row r="31" spans="1:19" ht="12.75">
      <c r="A31" s="16">
        <f t="shared" si="2"/>
        <v>15</v>
      </c>
      <c r="B31" s="1" t="s">
        <v>30</v>
      </c>
      <c r="C31" s="5">
        <f>SUM(M31:O31)</f>
        <v>105851</v>
      </c>
      <c r="D31" s="5">
        <f>SUM(Q31:S31)</f>
        <v>211705</v>
      </c>
      <c r="E31" s="5"/>
      <c r="F31" s="5"/>
      <c r="G31" s="5">
        <f>ROUND(SUM(C31:F31)/2,0)</f>
        <v>158778</v>
      </c>
      <c r="H31" s="5"/>
      <c r="I31" s="5">
        <f>(+M31+Q31)/2</f>
        <v>0</v>
      </c>
      <c r="J31" s="5">
        <f>(+N31+R31)/2</f>
        <v>59317.5</v>
      </c>
      <c r="K31" s="5">
        <f>(+O31+S31)/2</f>
        <v>99460.5</v>
      </c>
      <c r="L31" s="5"/>
      <c r="M31" s="5">
        <v>0</v>
      </c>
      <c r="N31" s="5">
        <f>16117+473+22291+663</f>
        <v>39544</v>
      </c>
      <c r="O31" s="5">
        <f>27020+793+37377+1117</f>
        <v>66307</v>
      </c>
      <c r="P31" s="5"/>
      <c r="Q31" s="5">
        <v>0</v>
      </c>
      <c r="R31" s="5">
        <f>32236+946+44580+1329</f>
        <v>79091</v>
      </c>
      <c r="S31" s="5">
        <f>54047+1586+74748+2233</f>
        <v>132614</v>
      </c>
    </row>
    <row r="32" spans="1:19" ht="12.75">
      <c r="A32" s="16">
        <f t="shared" si="2"/>
        <v>16</v>
      </c>
      <c r="B32" s="3" t="s">
        <v>88</v>
      </c>
      <c r="C32" s="5">
        <f t="shared" si="5"/>
        <v>2646108.4699999997</v>
      </c>
      <c r="D32" s="5">
        <f t="shared" si="6"/>
        <v>3115313.2199999997</v>
      </c>
      <c r="E32" s="5"/>
      <c r="F32" s="5"/>
      <c r="G32" s="5">
        <f t="shared" si="7"/>
        <v>2880711</v>
      </c>
      <c r="H32" s="5"/>
      <c r="I32" s="5">
        <f t="shared" si="8"/>
        <v>901541.1699999999</v>
      </c>
      <c r="J32" s="5">
        <f t="shared" si="9"/>
        <v>1215900.7</v>
      </c>
      <c r="K32" s="5">
        <f t="shared" si="10"/>
        <v>763268.9750000001</v>
      </c>
      <c r="L32" s="5"/>
      <c r="M32" s="5">
        <v>828120.62</v>
      </c>
      <c r="N32" s="5">
        <v>1116878.7</v>
      </c>
      <c r="O32" s="5">
        <v>701109.15</v>
      </c>
      <c r="P32" s="5"/>
      <c r="Q32" s="5">
        <v>974961.72</v>
      </c>
      <c r="R32" s="5">
        <v>1314922.7</v>
      </c>
      <c r="S32" s="5">
        <v>825428.8</v>
      </c>
    </row>
    <row r="33" spans="1:19" ht="12.75">
      <c r="A33" s="16">
        <f t="shared" si="2"/>
        <v>17</v>
      </c>
      <c r="B33" s="3" t="s">
        <v>89</v>
      </c>
      <c r="C33" s="5">
        <f>SUM(M33:O33)</f>
        <v>495493.25</v>
      </c>
      <c r="D33" s="5">
        <f>SUM(Q33:S33)</f>
        <v>577079.3</v>
      </c>
      <c r="E33" s="5"/>
      <c r="F33" s="5"/>
      <c r="G33" s="5">
        <f>ROUND(SUM(C33:F33)/2,0)</f>
        <v>536286</v>
      </c>
      <c r="H33" s="5"/>
      <c r="I33" s="5">
        <f>(+M33+Q33)/2</f>
        <v>0</v>
      </c>
      <c r="J33" s="5">
        <f>(+N33+R33)/2</f>
        <v>0</v>
      </c>
      <c r="K33" s="5">
        <f>(+O33+S33)/2</f>
        <v>536286.275</v>
      </c>
      <c r="L33" s="5"/>
      <c r="M33" s="5">
        <v>0</v>
      </c>
      <c r="N33" s="5">
        <v>0</v>
      </c>
      <c r="O33" s="5">
        <v>495493.25</v>
      </c>
      <c r="P33" s="5"/>
      <c r="Q33" s="5">
        <v>0</v>
      </c>
      <c r="R33" s="5">
        <v>0</v>
      </c>
      <c r="S33" s="5">
        <v>577079.3</v>
      </c>
    </row>
    <row r="34" spans="1:19" ht="12.75">
      <c r="A34" s="16">
        <f t="shared" si="2"/>
        <v>18</v>
      </c>
      <c r="B34" s="3" t="s">
        <v>92</v>
      </c>
      <c r="C34" s="5">
        <f t="shared" si="5"/>
        <v>327560.06</v>
      </c>
      <c r="D34" s="5">
        <f t="shared" si="6"/>
        <v>365487.38</v>
      </c>
      <c r="E34" s="5"/>
      <c r="F34" s="5"/>
      <c r="G34" s="5">
        <f t="shared" si="7"/>
        <v>346524</v>
      </c>
      <c r="H34" s="5"/>
      <c r="I34" s="5">
        <f t="shared" si="8"/>
        <v>0</v>
      </c>
      <c r="J34" s="5">
        <f t="shared" si="9"/>
        <v>346523.72</v>
      </c>
      <c r="K34" s="5">
        <f t="shared" si="10"/>
        <v>0</v>
      </c>
      <c r="L34" s="5"/>
      <c r="M34" s="5">
        <v>0</v>
      </c>
      <c r="N34" s="5">
        <v>327560.06</v>
      </c>
      <c r="O34" s="5">
        <v>0</v>
      </c>
      <c r="P34" s="5"/>
      <c r="Q34" s="5">
        <v>0</v>
      </c>
      <c r="R34" s="5">
        <v>365487.38</v>
      </c>
      <c r="S34" s="5">
        <v>0</v>
      </c>
    </row>
    <row r="35" spans="1:19" ht="12.75">
      <c r="A35" s="16">
        <f t="shared" si="2"/>
        <v>19</v>
      </c>
      <c r="B35" s="3" t="s">
        <v>106</v>
      </c>
      <c r="C35" s="5">
        <f aca="true" t="shared" si="11" ref="C35:C40">SUM(M35:O35)</f>
        <v>6750937.2</v>
      </c>
      <c r="D35" s="5">
        <f aca="true" t="shared" si="12" ref="D35:D40">SUM(Q35:S35)</f>
        <v>6814069.5</v>
      </c>
      <c r="E35" s="5"/>
      <c r="F35" s="5"/>
      <c r="G35" s="5">
        <f aca="true" t="shared" si="13" ref="G35:G40">ROUND(SUM(C35:F35)/2,0)</f>
        <v>6782503</v>
      </c>
      <c r="H35" s="5"/>
      <c r="I35" s="5">
        <f>(+M35+Q35)/2</f>
        <v>6445779.550000001</v>
      </c>
      <c r="J35" s="5">
        <f>(+N35+R35)/2</f>
        <v>0</v>
      </c>
      <c r="K35" s="5">
        <f>(+O35+S35)/2</f>
        <v>336723.8</v>
      </c>
      <c r="L35" s="5"/>
      <c r="M35" s="5">
        <v>6414213.4</v>
      </c>
      <c r="N35" s="5">
        <v>0</v>
      </c>
      <c r="O35" s="5">
        <v>336723.8</v>
      </c>
      <c r="P35" s="5"/>
      <c r="Q35" s="5">
        <v>6477345.7</v>
      </c>
      <c r="R35" s="5">
        <v>0</v>
      </c>
      <c r="S35" s="5">
        <v>336723.8</v>
      </c>
    </row>
    <row r="36" spans="1:19" ht="12.75">
      <c r="A36" s="16">
        <f t="shared" si="2"/>
        <v>20</v>
      </c>
      <c r="B36" s="3" t="s">
        <v>68</v>
      </c>
      <c r="C36" s="5">
        <f t="shared" si="11"/>
        <v>11717406.71</v>
      </c>
      <c r="D36" s="5">
        <f t="shared" si="12"/>
        <v>11149201.92</v>
      </c>
      <c r="E36" s="5"/>
      <c r="F36" s="5"/>
      <c r="G36" s="5">
        <f t="shared" si="13"/>
        <v>11433304</v>
      </c>
      <c r="H36" s="5"/>
      <c r="I36" s="5">
        <f aca="true" t="shared" si="14" ref="I36:K39">(+M36+Q36)/2</f>
        <v>10958567.93</v>
      </c>
      <c r="J36" s="5">
        <f t="shared" si="14"/>
        <v>-169.61</v>
      </c>
      <c r="K36" s="5">
        <f t="shared" si="14"/>
        <v>474905.995</v>
      </c>
      <c r="L36" s="5"/>
      <c r="M36" s="5">
        <v>11253354.39</v>
      </c>
      <c r="N36" s="5">
        <v>-200.48</v>
      </c>
      <c r="O36" s="5">
        <v>464252.8</v>
      </c>
      <c r="P36" s="5"/>
      <c r="Q36" s="5">
        <v>10663781.47</v>
      </c>
      <c r="R36" s="5">
        <v>-138.74</v>
      </c>
      <c r="S36" s="5">
        <v>485559.19</v>
      </c>
    </row>
    <row r="37" spans="1:19" ht="12.75">
      <c r="A37" s="16">
        <f t="shared" si="2"/>
        <v>21</v>
      </c>
      <c r="B37" s="3" t="s">
        <v>113</v>
      </c>
      <c r="C37" s="5">
        <f t="shared" si="11"/>
        <v>4452527.46</v>
      </c>
      <c r="D37" s="5">
        <f t="shared" si="12"/>
        <v>13528955.31</v>
      </c>
      <c r="E37" s="5"/>
      <c r="F37" s="5"/>
      <c r="G37" s="5">
        <f t="shared" si="13"/>
        <v>8990741</v>
      </c>
      <c r="H37" s="5"/>
      <c r="I37" s="5">
        <f>(+M37+Q37)/2</f>
        <v>8990741.385</v>
      </c>
      <c r="J37" s="5">
        <f>(+N37+R37)/2</f>
        <v>0</v>
      </c>
      <c r="K37" s="5">
        <f>(+O37+S37)/2</f>
        <v>0</v>
      </c>
      <c r="L37" s="5"/>
      <c r="M37" s="5">
        <v>4452527.46</v>
      </c>
      <c r="N37" s="5">
        <v>0</v>
      </c>
      <c r="O37" s="5">
        <v>0</v>
      </c>
      <c r="P37" s="5"/>
      <c r="Q37" s="5">
        <v>13528955.31</v>
      </c>
      <c r="R37" s="5">
        <v>0</v>
      </c>
      <c r="S37" s="5">
        <v>0</v>
      </c>
    </row>
    <row r="38" spans="1:19" ht="12.75">
      <c r="A38" s="16">
        <f t="shared" si="2"/>
        <v>22</v>
      </c>
      <c r="B38" s="3" t="s">
        <v>69</v>
      </c>
      <c r="C38" s="5">
        <f t="shared" si="11"/>
        <v>32712441.950000003</v>
      </c>
      <c r="D38" s="5">
        <f t="shared" si="12"/>
        <v>34441737.95</v>
      </c>
      <c r="E38" s="5"/>
      <c r="F38" s="5"/>
      <c r="G38" s="5">
        <f t="shared" si="13"/>
        <v>33577090</v>
      </c>
      <c r="H38" s="5"/>
      <c r="I38" s="5">
        <f t="shared" si="14"/>
        <v>33577089.95</v>
      </c>
      <c r="J38" s="5">
        <f t="shared" si="14"/>
        <v>0</v>
      </c>
      <c r="K38" s="5">
        <f t="shared" si="14"/>
        <v>0</v>
      </c>
      <c r="L38" s="5"/>
      <c r="M38" s="5">
        <f>63845250.95-31132809</f>
        <v>32712441.950000003</v>
      </c>
      <c r="N38" s="5">
        <v>0</v>
      </c>
      <c r="O38" s="5">
        <v>0</v>
      </c>
      <c r="P38" s="5"/>
      <c r="Q38" s="5">
        <f>63845250.95-29403513</f>
        <v>34441737.95</v>
      </c>
      <c r="R38" s="5">
        <v>0</v>
      </c>
      <c r="S38" s="5">
        <v>0</v>
      </c>
    </row>
    <row r="39" spans="1:19" ht="12.75">
      <c r="A39" s="16">
        <f t="shared" si="2"/>
        <v>23</v>
      </c>
      <c r="B39" s="3" t="s">
        <v>107</v>
      </c>
      <c r="C39" s="5">
        <f t="shared" si="11"/>
        <v>69994535.94999999</v>
      </c>
      <c r="D39" s="5">
        <f t="shared" si="12"/>
        <v>64261511</v>
      </c>
      <c r="E39" s="5"/>
      <c r="F39" s="5"/>
      <c r="G39" s="5">
        <f t="shared" si="13"/>
        <v>67128023</v>
      </c>
      <c r="H39" s="5"/>
      <c r="I39" s="5">
        <f t="shared" si="14"/>
        <v>15180297.475</v>
      </c>
      <c r="J39" s="5">
        <f t="shared" si="14"/>
        <v>7360705.2</v>
      </c>
      <c r="K39" s="5">
        <f t="shared" si="14"/>
        <v>44587020.8</v>
      </c>
      <c r="L39" s="5"/>
      <c r="M39" s="5">
        <f>20361070.2-3153624</f>
        <v>17207446.2</v>
      </c>
      <c r="N39" s="5">
        <f>11000702.85-3559429</f>
        <v>7441273.85</v>
      </c>
      <c r="O39" s="5">
        <f>58363624.9-13017809</f>
        <v>45345815.9</v>
      </c>
      <c r="P39" s="5"/>
      <c r="Q39" s="5">
        <f>15632343.75-2479195</f>
        <v>13153148.75</v>
      </c>
      <c r="R39" s="5">
        <f>10463929.55-3183793</f>
        <v>7280136.550000001</v>
      </c>
      <c r="S39" s="5">
        <f>54841885.7-11013660</f>
        <v>43828225.7</v>
      </c>
    </row>
    <row r="40" spans="1:19" ht="12.75">
      <c r="A40" s="16">
        <f t="shared" si="2"/>
        <v>24</v>
      </c>
      <c r="B40" s="3" t="s">
        <v>124</v>
      </c>
      <c r="C40" s="5">
        <f t="shared" si="11"/>
        <v>-9680037.79</v>
      </c>
      <c r="D40" s="5">
        <f t="shared" si="12"/>
        <v>-6825033.89</v>
      </c>
      <c r="E40" s="5"/>
      <c r="F40" s="5"/>
      <c r="G40" s="5">
        <f t="shared" si="13"/>
        <v>-8252536</v>
      </c>
      <c r="H40" s="5"/>
      <c r="I40" s="5">
        <f>(+M40+Q40)/2</f>
        <v>-8252535.84</v>
      </c>
      <c r="J40" s="5">
        <f>(+N40+R40)/2</f>
        <v>0</v>
      </c>
      <c r="K40" s="5">
        <f>(+O40+S40)/2</f>
        <v>0</v>
      </c>
      <c r="L40" s="5"/>
      <c r="M40" s="5">
        <v>-9680037.79</v>
      </c>
      <c r="N40" s="5">
        <v>0</v>
      </c>
      <c r="O40" s="5">
        <v>0</v>
      </c>
      <c r="P40" s="5"/>
      <c r="Q40" s="5">
        <v>-6825033.89</v>
      </c>
      <c r="R40" s="5">
        <v>0</v>
      </c>
      <c r="S40" s="5">
        <v>0</v>
      </c>
    </row>
    <row r="41" spans="1:19" ht="12.75">
      <c r="A41" s="16">
        <f t="shared" si="2"/>
        <v>25</v>
      </c>
      <c r="B41" s="3" t="s">
        <v>31</v>
      </c>
      <c r="C41" s="5">
        <f t="shared" si="5"/>
        <v>1405705.54</v>
      </c>
      <c r="D41" s="5">
        <f t="shared" si="6"/>
        <v>1336673.73</v>
      </c>
      <c r="E41" s="5"/>
      <c r="F41" s="5"/>
      <c r="G41" s="5">
        <f t="shared" si="7"/>
        <v>1371190</v>
      </c>
      <c r="H41" s="5"/>
      <c r="I41" s="5">
        <f t="shared" si="8"/>
        <v>1354384.635</v>
      </c>
      <c r="J41" s="5">
        <f t="shared" si="9"/>
        <v>6277</v>
      </c>
      <c r="K41" s="5">
        <f t="shared" si="10"/>
        <v>10528</v>
      </c>
      <c r="L41" s="5"/>
      <c r="M41" s="5">
        <f>-272990+1664527.54</f>
        <v>1391537.54</v>
      </c>
      <c r="N41" s="5">
        <f>59082-53790</f>
        <v>5292</v>
      </c>
      <c r="O41" s="5">
        <f>99877-91001</f>
        <v>8876</v>
      </c>
      <c r="P41" s="5"/>
      <c r="Q41" s="5">
        <f>1537162.73-219931</f>
        <v>1317231.73</v>
      </c>
      <c r="R41" s="5">
        <f>59082-51820</f>
        <v>7262</v>
      </c>
      <c r="S41" s="5">
        <f>99877-87697</f>
        <v>12180</v>
      </c>
    </row>
    <row r="42" spans="1:19" ht="12.75">
      <c r="A42" s="16">
        <f t="shared" si="2"/>
        <v>26</v>
      </c>
      <c r="B42" s="3" t="s">
        <v>70</v>
      </c>
      <c r="C42" s="5">
        <f t="shared" si="5"/>
        <v>1201782.47</v>
      </c>
      <c r="D42" s="5">
        <f t="shared" si="6"/>
        <v>1169386.25</v>
      </c>
      <c r="E42" s="5"/>
      <c r="F42" s="5"/>
      <c r="G42" s="5">
        <f t="shared" si="7"/>
        <v>1185584</v>
      </c>
      <c r="H42" s="5"/>
      <c r="I42" s="5">
        <f t="shared" si="8"/>
        <v>0</v>
      </c>
      <c r="J42" s="5">
        <f t="shared" si="9"/>
        <v>1185584.3599999999</v>
      </c>
      <c r="K42" s="5">
        <f t="shared" si="10"/>
        <v>0</v>
      </c>
      <c r="L42" s="5"/>
      <c r="M42" s="5">
        <v>0</v>
      </c>
      <c r="N42" s="5">
        <f>1834196.47-632414</f>
        <v>1201782.47</v>
      </c>
      <c r="O42" s="5">
        <v>0</v>
      </c>
      <c r="P42" s="5"/>
      <c r="Q42" s="5">
        <v>0</v>
      </c>
      <c r="R42" s="5">
        <f>1742137.25-572751</f>
        <v>1169386.25</v>
      </c>
      <c r="S42" s="5">
        <v>0</v>
      </c>
    </row>
    <row r="43" spans="1:19" ht="12.75">
      <c r="A43" s="16">
        <f t="shared" si="2"/>
        <v>27</v>
      </c>
      <c r="B43" s="3" t="s">
        <v>71</v>
      </c>
      <c r="C43" s="5">
        <f t="shared" si="5"/>
        <v>25921</v>
      </c>
      <c r="D43" s="5">
        <f t="shared" si="6"/>
        <v>28035</v>
      </c>
      <c r="E43" s="5"/>
      <c r="F43" s="5"/>
      <c r="G43" s="5">
        <f t="shared" si="7"/>
        <v>26978</v>
      </c>
      <c r="H43" s="5"/>
      <c r="I43" s="5">
        <f t="shared" si="8"/>
        <v>0</v>
      </c>
      <c r="J43" s="5">
        <f t="shared" si="9"/>
        <v>9797</v>
      </c>
      <c r="K43" s="5">
        <f t="shared" si="10"/>
        <v>17181</v>
      </c>
      <c r="L43" s="5"/>
      <c r="M43" s="5">
        <v>0</v>
      </c>
      <c r="N43" s="5">
        <f>23373-13965</f>
        <v>9408</v>
      </c>
      <c r="O43" s="5">
        <f>40261-23748</f>
        <v>16513</v>
      </c>
      <c r="P43" s="5"/>
      <c r="Q43" s="5">
        <v>0</v>
      </c>
      <c r="R43" s="5">
        <f>23373-13187</f>
        <v>10186</v>
      </c>
      <c r="S43" s="5">
        <f>40261-22412</f>
        <v>17849</v>
      </c>
    </row>
    <row r="44" spans="1:19" ht="12.75">
      <c r="A44" s="16">
        <f t="shared" si="2"/>
        <v>28</v>
      </c>
      <c r="B44" s="3" t="s">
        <v>72</v>
      </c>
      <c r="C44" s="5">
        <f t="shared" si="5"/>
        <v>2741.32</v>
      </c>
      <c r="D44" s="5">
        <f t="shared" si="6"/>
        <v>2351.99</v>
      </c>
      <c r="E44" s="5"/>
      <c r="F44" s="5"/>
      <c r="G44" s="5">
        <f t="shared" si="7"/>
        <v>2547</v>
      </c>
      <c r="H44" s="5"/>
      <c r="I44" s="5">
        <f t="shared" si="8"/>
        <v>0</v>
      </c>
      <c r="J44" s="5">
        <f t="shared" si="9"/>
        <v>0</v>
      </c>
      <c r="K44" s="5">
        <f t="shared" si="10"/>
        <v>2546.6549999999997</v>
      </c>
      <c r="L44" s="5"/>
      <c r="M44" s="5">
        <v>0</v>
      </c>
      <c r="N44" s="5">
        <v>0</v>
      </c>
      <c r="O44" s="5">
        <f>3927.32-1186</f>
        <v>2741.32</v>
      </c>
      <c r="P44" s="5"/>
      <c r="Q44" s="5">
        <v>0</v>
      </c>
      <c r="R44" s="5">
        <v>0</v>
      </c>
      <c r="S44" s="5">
        <f>3413.99-1062</f>
        <v>2351.99</v>
      </c>
    </row>
    <row r="45" spans="1:19" ht="12.75">
      <c r="A45" s="16">
        <f t="shared" si="2"/>
        <v>29</v>
      </c>
      <c r="B45" s="3" t="s">
        <v>32</v>
      </c>
      <c r="C45" s="5">
        <f t="shared" si="5"/>
        <v>72891</v>
      </c>
      <c r="D45" s="5">
        <f t="shared" si="6"/>
        <v>103618</v>
      </c>
      <c r="E45" s="5"/>
      <c r="F45" s="5"/>
      <c r="G45" s="5">
        <f t="shared" si="7"/>
        <v>88255</v>
      </c>
      <c r="H45" s="5"/>
      <c r="I45" s="5">
        <f t="shared" si="8"/>
        <v>0</v>
      </c>
      <c r="J45" s="5">
        <f t="shared" si="9"/>
        <v>32969.5</v>
      </c>
      <c r="K45" s="5">
        <f t="shared" si="10"/>
        <v>55285</v>
      </c>
      <c r="L45" s="5"/>
      <c r="M45" s="5">
        <v>0</v>
      </c>
      <c r="N45" s="5">
        <f>629080-601850</f>
        <v>27230</v>
      </c>
      <c r="O45" s="5">
        <f>1054778-1009117</f>
        <v>45661</v>
      </c>
      <c r="P45" s="5"/>
      <c r="Q45" s="5">
        <v>0</v>
      </c>
      <c r="R45" s="5">
        <f>629080-590371</f>
        <v>38709</v>
      </c>
      <c r="S45" s="5">
        <f>1054778-989869</f>
        <v>64909</v>
      </c>
    </row>
    <row r="46" spans="1:19" ht="12.75">
      <c r="A46" s="16">
        <f t="shared" si="2"/>
        <v>30</v>
      </c>
      <c r="B46" s="3" t="s">
        <v>33</v>
      </c>
      <c r="C46" s="5">
        <f t="shared" si="5"/>
        <v>14596</v>
      </c>
      <c r="D46" s="5">
        <f t="shared" si="6"/>
        <v>25135</v>
      </c>
      <c r="E46" s="5"/>
      <c r="F46" s="5"/>
      <c r="G46" s="5">
        <f t="shared" si="7"/>
        <v>19866</v>
      </c>
      <c r="H46" s="5"/>
      <c r="I46" s="5">
        <f t="shared" si="8"/>
        <v>0</v>
      </c>
      <c r="J46" s="5">
        <f t="shared" si="9"/>
        <v>7421</v>
      </c>
      <c r="K46" s="5">
        <f t="shared" si="10"/>
        <v>12444.5</v>
      </c>
      <c r="L46" s="5"/>
      <c r="M46" s="5">
        <v>0</v>
      </c>
      <c r="N46" s="5">
        <f>273853-268401</f>
        <v>5452</v>
      </c>
      <c r="O46" s="5">
        <f>459159-450015</f>
        <v>9144</v>
      </c>
      <c r="P46" s="5"/>
      <c r="Q46" s="5">
        <v>0</v>
      </c>
      <c r="R46" s="5">
        <f>273853-264463</f>
        <v>9390</v>
      </c>
      <c r="S46" s="5">
        <f>459159-443414</f>
        <v>15745</v>
      </c>
    </row>
    <row r="47" spans="1:19" ht="12.75">
      <c r="A47" s="16">
        <f t="shared" si="2"/>
        <v>31</v>
      </c>
      <c r="B47" s="3" t="s">
        <v>34</v>
      </c>
      <c r="C47" s="5">
        <f t="shared" si="5"/>
        <v>-38011.25</v>
      </c>
      <c r="D47" s="5">
        <f t="shared" si="6"/>
        <v>-16141.5</v>
      </c>
      <c r="E47" s="5"/>
      <c r="F47" s="5"/>
      <c r="G47" s="5">
        <f t="shared" si="7"/>
        <v>-27076</v>
      </c>
      <c r="H47" s="5"/>
      <c r="I47" s="5">
        <f t="shared" si="8"/>
        <v>-48130.05</v>
      </c>
      <c r="J47" s="5">
        <f t="shared" si="9"/>
        <v>7552</v>
      </c>
      <c r="K47" s="5">
        <f t="shared" si="10"/>
        <v>13501.675000000001</v>
      </c>
      <c r="L47" s="5"/>
      <c r="M47" s="5">
        <f>-52646.1</f>
        <v>-52646.1</v>
      </c>
      <c r="N47" s="5">
        <f>5124.4</f>
        <v>5124.4</v>
      </c>
      <c r="O47" s="5">
        <v>9510.45</v>
      </c>
      <c r="P47" s="5"/>
      <c r="Q47" s="5">
        <v>-43614</v>
      </c>
      <c r="R47" s="5">
        <v>9979.6</v>
      </c>
      <c r="S47" s="5">
        <v>17492.9</v>
      </c>
    </row>
    <row r="48" spans="1:19" ht="12.75">
      <c r="A48" s="16">
        <f t="shared" si="2"/>
        <v>32</v>
      </c>
      <c r="B48" s="3" t="s">
        <v>35</v>
      </c>
      <c r="C48" s="5">
        <f t="shared" si="5"/>
        <v>20051</v>
      </c>
      <c r="D48" s="5">
        <f t="shared" si="6"/>
        <v>28446</v>
      </c>
      <c r="E48" s="5"/>
      <c r="F48" s="5"/>
      <c r="G48" s="5">
        <f t="shared" si="7"/>
        <v>24249</v>
      </c>
      <c r="H48" s="5"/>
      <c r="I48" s="5">
        <f t="shared" si="8"/>
        <v>0</v>
      </c>
      <c r="J48" s="5">
        <f t="shared" si="9"/>
        <v>9059</v>
      </c>
      <c r="K48" s="5">
        <f t="shared" si="10"/>
        <v>15189.5</v>
      </c>
      <c r="L48" s="5"/>
      <c r="M48" s="5">
        <v>0</v>
      </c>
      <c r="N48" s="5">
        <f>146852-139361</f>
        <v>7491</v>
      </c>
      <c r="O48" s="5">
        <f>246227-233667</f>
        <v>12560</v>
      </c>
      <c r="P48" s="5"/>
      <c r="Q48" s="5">
        <v>0</v>
      </c>
      <c r="R48" s="5">
        <f>146852-136225</f>
        <v>10627</v>
      </c>
      <c r="S48" s="5">
        <f>246227-228408</f>
        <v>17819</v>
      </c>
    </row>
    <row r="49" spans="1:19" ht="12.75">
      <c r="A49" s="16">
        <f t="shared" si="2"/>
        <v>33</v>
      </c>
      <c r="B49" s="3" t="s">
        <v>36</v>
      </c>
      <c r="C49" s="5">
        <f t="shared" si="5"/>
        <v>24057018.02</v>
      </c>
      <c r="D49" s="5">
        <f t="shared" si="6"/>
        <v>25537136.86</v>
      </c>
      <c r="E49" s="5"/>
      <c r="F49" s="5"/>
      <c r="G49" s="5">
        <f aca="true" t="shared" si="15" ref="G49:G66">ROUND(SUM(C49:F49)/2,0)</f>
        <v>24797077</v>
      </c>
      <c r="H49" s="5"/>
      <c r="I49" s="5">
        <f t="shared" si="8"/>
        <v>15735672.809999999</v>
      </c>
      <c r="J49" s="5">
        <f t="shared" si="9"/>
        <v>3016461.41</v>
      </c>
      <c r="K49" s="5">
        <f t="shared" si="10"/>
        <v>6044943.220000001</v>
      </c>
      <c r="L49" s="5"/>
      <c r="M49" s="5">
        <f>19781115.31-4375123</f>
        <v>15405992.309999999</v>
      </c>
      <c r="N49" s="5">
        <f>7691586.91-4785756</f>
        <v>2905830.91</v>
      </c>
      <c r="O49" s="5">
        <f>15184327.8-9439133</f>
        <v>5745194.800000001</v>
      </c>
      <c r="P49" s="5"/>
      <c r="Q49" s="5">
        <f>19781115.31-3715762</f>
        <v>16065353.309999999</v>
      </c>
      <c r="R49" s="5">
        <f>7691586.91-4564495</f>
        <v>3127091.91</v>
      </c>
      <c r="S49" s="5">
        <f>15352606.64-9007915</f>
        <v>6344691.640000001</v>
      </c>
    </row>
    <row r="50" spans="1:19" ht="12.75">
      <c r="A50" s="16">
        <f t="shared" si="2"/>
        <v>34</v>
      </c>
      <c r="B50" s="3" t="s">
        <v>114</v>
      </c>
      <c r="C50" s="5">
        <f>SUM(M50:O50)</f>
        <v>55035439.55</v>
      </c>
      <c r="D50" s="5">
        <f>SUM(Q50:S50)</f>
        <v>29622236.7</v>
      </c>
      <c r="E50" s="5"/>
      <c r="F50" s="5"/>
      <c r="G50" s="5">
        <f>ROUND(SUM(C50:F50)/2,0)</f>
        <v>42328838</v>
      </c>
      <c r="H50" s="5"/>
      <c r="I50" s="5">
        <f aca="true" t="shared" si="16" ref="I50:K51">(+M50+Q50)/2</f>
        <v>42328838.125</v>
      </c>
      <c r="J50" s="5">
        <f t="shared" si="16"/>
        <v>0</v>
      </c>
      <c r="K50" s="5">
        <f t="shared" si="16"/>
        <v>0</v>
      </c>
      <c r="L50" s="5"/>
      <c r="M50" s="5">
        <f>55035439.55</f>
        <v>55035439.55</v>
      </c>
      <c r="N50" s="5">
        <v>0</v>
      </c>
      <c r="O50" s="5">
        <v>0</v>
      </c>
      <c r="P50" s="5"/>
      <c r="Q50" s="5">
        <v>29622236.7</v>
      </c>
      <c r="R50" s="5">
        <v>0</v>
      </c>
      <c r="S50" s="5">
        <v>0</v>
      </c>
    </row>
    <row r="51" spans="1:19" ht="12.75">
      <c r="A51" s="16">
        <f t="shared" si="2"/>
        <v>35</v>
      </c>
      <c r="B51" s="3" t="s">
        <v>115</v>
      </c>
      <c r="C51" s="5">
        <f>SUM(M51:O51)</f>
        <v>98160350.05</v>
      </c>
      <c r="D51" s="5">
        <f>SUM(Q51:S51)</f>
        <v>102580272.2</v>
      </c>
      <c r="E51" s="5"/>
      <c r="F51" s="5"/>
      <c r="G51" s="5">
        <f>ROUND(SUM(C51:F51)/2,0)</f>
        <v>100370311</v>
      </c>
      <c r="H51" s="5"/>
      <c r="I51" s="5">
        <f t="shared" si="16"/>
        <v>100370311.125</v>
      </c>
      <c r="J51" s="5">
        <f t="shared" si="16"/>
        <v>0</v>
      </c>
      <c r="K51" s="5">
        <f t="shared" si="16"/>
        <v>0</v>
      </c>
      <c r="L51" s="5"/>
      <c r="M51" s="5">
        <v>98160350.05</v>
      </c>
      <c r="N51" s="5">
        <v>0</v>
      </c>
      <c r="O51" s="5">
        <v>0</v>
      </c>
      <c r="P51" s="5"/>
      <c r="Q51" s="5">
        <v>102580272.2</v>
      </c>
      <c r="R51" s="5">
        <v>0</v>
      </c>
      <c r="S51" s="5">
        <v>0</v>
      </c>
    </row>
    <row r="52" spans="1:19" ht="12.75">
      <c r="A52" s="16">
        <f t="shared" si="2"/>
        <v>36</v>
      </c>
      <c r="B52" s="3" t="s">
        <v>90</v>
      </c>
      <c r="C52" s="5">
        <f>SUM(M52:O52)</f>
        <v>2139958.7</v>
      </c>
      <c r="D52" s="5">
        <f>SUM(Q52:S52)</f>
        <v>2153534.35</v>
      </c>
      <c r="E52" s="5"/>
      <c r="F52" s="5"/>
      <c r="G52" s="5">
        <f>ROUND(SUM(C52:F52)/2,0)</f>
        <v>2146747</v>
      </c>
      <c r="H52" s="5"/>
      <c r="I52" s="5">
        <f aca="true" t="shared" si="17" ref="I52:K53">(+M52+Q52)/2</f>
        <v>0</v>
      </c>
      <c r="J52" s="5">
        <f t="shared" si="17"/>
        <v>244383.975</v>
      </c>
      <c r="K52" s="5">
        <f t="shared" si="17"/>
        <v>1902362.55</v>
      </c>
      <c r="L52" s="5"/>
      <c r="M52" s="5">
        <v>0</v>
      </c>
      <c r="N52" s="5">
        <f>363172.25-77062</f>
        <v>286110.25</v>
      </c>
      <c r="O52" s="5">
        <f>2236782.45-382934</f>
        <v>1853848.4500000002</v>
      </c>
      <c r="P52" s="5"/>
      <c r="Q52" s="5">
        <v>0</v>
      </c>
      <c r="R52" s="5">
        <f>265993.7-63336</f>
        <v>202657.7</v>
      </c>
      <c r="S52" s="5">
        <f>-314687+2265563.65</f>
        <v>1950876.65</v>
      </c>
    </row>
    <row r="53" spans="1:19" ht="12.75">
      <c r="A53" s="16">
        <f t="shared" si="2"/>
        <v>37</v>
      </c>
      <c r="B53" s="3" t="s">
        <v>91</v>
      </c>
      <c r="C53" s="5">
        <f>SUM(M53:O53)</f>
        <v>78817.37</v>
      </c>
      <c r="D53" s="5">
        <f>SUM(Q53:S53)</f>
        <v>87338.16</v>
      </c>
      <c r="E53" s="5"/>
      <c r="F53" s="5"/>
      <c r="G53" s="5">
        <f>ROUND(SUM(C53:F53)/2,0)</f>
        <v>83078</v>
      </c>
      <c r="H53" s="5"/>
      <c r="I53" s="5">
        <f t="shared" si="17"/>
        <v>0</v>
      </c>
      <c r="J53" s="5">
        <f t="shared" si="17"/>
        <v>0</v>
      </c>
      <c r="K53" s="5">
        <f t="shared" si="17"/>
        <v>83077.765</v>
      </c>
      <c r="L53" s="5"/>
      <c r="M53" s="5">
        <v>0</v>
      </c>
      <c r="N53" s="5">
        <v>0</v>
      </c>
      <c r="O53" s="5">
        <v>78817.37</v>
      </c>
      <c r="P53" s="5"/>
      <c r="Q53" s="5">
        <v>0</v>
      </c>
      <c r="R53" s="5">
        <v>0</v>
      </c>
      <c r="S53" s="5">
        <v>87338.16</v>
      </c>
    </row>
    <row r="54" spans="1:19" ht="12.75">
      <c r="A54" s="16">
        <f t="shared" si="2"/>
        <v>38</v>
      </c>
      <c r="B54" s="3" t="s">
        <v>73</v>
      </c>
      <c r="C54" s="5">
        <f t="shared" si="5"/>
        <v>1922.6</v>
      </c>
      <c r="D54" s="5">
        <f t="shared" si="6"/>
        <v>1922.6</v>
      </c>
      <c r="E54" s="5"/>
      <c r="F54" s="5"/>
      <c r="G54" s="5">
        <f t="shared" si="15"/>
        <v>1923</v>
      </c>
      <c r="H54" s="5"/>
      <c r="I54" s="5">
        <f t="shared" si="8"/>
        <v>0</v>
      </c>
      <c r="J54" s="5">
        <f t="shared" si="9"/>
        <v>1922.6</v>
      </c>
      <c r="K54" s="5">
        <f t="shared" si="10"/>
        <v>0</v>
      </c>
      <c r="L54" s="5"/>
      <c r="M54" s="5">
        <v>0</v>
      </c>
      <c r="N54" s="5">
        <v>1922.6</v>
      </c>
      <c r="O54" s="5">
        <v>0</v>
      </c>
      <c r="P54" s="5"/>
      <c r="Q54" s="5">
        <v>0</v>
      </c>
      <c r="R54" s="5">
        <v>1922.6</v>
      </c>
      <c r="S54" s="5">
        <v>0</v>
      </c>
    </row>
    <row r="55" spans="1:19" ht="12.75">
      <c r="A55" s="16">
        <f t="shared" si="2"/>
        <v>39</v>
      </c>
      <c r="B55" s="3" t="s">
        <v>74</v>
      </c>
      <c r="C55" s="5">
        <f t="shared" si="5"/>
        <v>137</v>
      </c>
      <c r="D55" s="5">
        <f t="shared" si="6"/>
        <v>137</v>
      </c>
      <c r="E55" s="5"/>
      <c r="F55" s="5"/>
      <c r="G55" s="5">
        <f t="shared" si="15"/>
        <v>137</v>
      </c>
      <c r="H55" s="5"/>
      <c r="I55" s="5">
        <f t="shared" si="8"/>
        <v>137</v>
      </c>
      <c r="J55" s="5">
        <f t="shared" si="9"/>
        <v>0</v>
      </c>
      <c r="K55" s="5">
        <f t="shared" si="10"/>
        <v>0</v>
      </c>
      <c r="L55" s="5"/>
      <c r="M55" s="5">
        <v>137</v>
      </c>
      <c r="N55" s="5">
        <v>0</v>
      </c>
      <c r="O55" s="5">
        <v>0</v>
      </c>
      <c r="P55" s="5"/>
      <c r="Q55" s="5">
        <v>137</v>
      </c>
      <c r="R55" s="5">
        <v>0</v>
      </c>
      <c r="S55" s="5">
        <v>0</v>
      </c>
    </row>
    <row r="56" spans="1:19" ht="12.75">
      <c r="A56" s="16">
        <f t="shared" si="2"/>
        <v>40</v>
      </c>
      <c r="B56" s="3" t="s">
        <v>112</v>
      </c>
      <c r="C56" s="5">
        <f>SUM(M56:O56)</f>
        <v>253968.4</v>
      </c>
      <c r="D56" s="5">
        <f>SUM(Q56:S56)</f>
        <v>253968.4</v>
      </c>
      <c r="E56" s="5"/>
      <c r="F56" s="5"/>
      <c r="G56" s="5">
        <f>ROUND(SUM(C56:F56)/2,0)</f>
        <v>253968</v>
      </c>
      <c r="H56" s="5"/>
      <c r="I56" s="5">
        <f>(+M56+Q56)/2</f>
        <v>51786.7</v>
      </c>
      <c r="J56" s="5">
        <f>(+N56+R56)/2</f>
        <v>17010.35</v>
      </c>
      <c r="K56" s="5">
        <f>(+O56+S56)/2</f>
        <v>185171.35</v>
      </c>
      <c r="L56" s="5"/>
      <c r="M56" s="5">
        <v>51786.7</v>
      </c>
      <c r="N56" s="5">
        <v>17010.35</v>
      </c>
      <c r="O56" s="5">
        <v>185171.35</v>
      </c>
      <c r="P56" s="5"/>
      <c r="Q56" s="5">
        <v>51786.7</v>
      </c>
      <c r="R56" s="5">
        <v>17010.35</v>
      </c>
      <c r="S56" s="5">
        <v>185171.35</v>
      </c>
    </row>
    <row r="57" spans="1:19" ht="12.75">
      <c r="A57" s="16">
        <f t="shared" si="2"/>
        <v>41</v>
      </c>
      <c r="B57" s="3" t="s">
        <v>37</v>
      </c>
      <c r="C57" s="5">
        <f t="shared" si="5"/>
        <v>135710</v>
      </c>
      <c r="D57" s="5">
        <f t="shared" si="6"/>
        <v>188172</v>
      </c>
      <c r="E57" s="5"/>
      <c r="F57" s="5"/>
      <c r="G57" s="5">
        <f t="shared" si="15"/>
        <v>161941</v>
      </c>
      <c r="H57" s="5"/>
      <c r="I57" s="5">
        <f t="shared" si="8"/>
        <v>0</v>
      </c>
      <c r="J57" s="5">
        <f t="shared" si="9"/>
        <v>60500</v>
      </c>
      <c r="K57" s="5">
        <f t="shared" si="10"/>
        <v>101441</v>
      </c>
      <c r="L57" s="5"/>
      <c r="M57" s="5">
        <v>0</v>
      </c>
      <c r="N57" s="5">
        <f>972065-921366</f>
        <v>50699</v>
      </c>
      <c r="O57" s="5">
        <f>1629855-1544844</f>
        <v>85011</v>
      </c>
      <c r="P57" s="5"/>
      <c r="Q57" s="5">
        <v>0</v>
      </c>
      <c r="R57" s="5">
        <f>972065-901764</f>
        <v>70301</v>
      </c>
      <c r="S57" s="5">
        <f>1629855-1511984</f>
        <v>117871</v>
      </c>
    </row>
    <row r="58" spans="1:19" ht="12.75">
      <c r="A58" s="16">
        <f t="shared" si="2"/>
        <v>42</v>
      </c>
      <c r="B58" s="3" t="s">
        <v>75</v>
      </c>
      <c r="C58" s="5">
        <f t="shared" si="5"/>
        <v>2294593</v>
      </c>
      <c r="D58" s="5">
        <f t="shared" si="6"/>
        <v>2401318</v>
      </c>
      <c r="E58" s="5"/>
      <c r="F58" s="5"/>
      <c r="G58" s="5">
        <f t="shared" si="15"/>
        <v>2347956</v>
      </c>
      <c r="H58" s="5"/>
      <c r="I58" s="5">
        <f t="shared" si="8"/>
        <v>2347955.5</v>
      </c>
      <c r="J58" s="5">
        <f t="shared" si="9"/>
        <v>0</v>
      </c>
      <c r="K58" s="5">
        <f t="shared" si="10"/>
        <v>0</v>
      </c>
      <c r="L58" s="5"/>
      <c r="M58" s="5">
        <f>3201757-907164</f>
        <v>2294593</v>
      </c>
      <c r="N58" s="5">
        <v>0</v>
      </c>
      <c r="O58" s="5">
        <v>0</v>
      </c>
      <c r="P58" s="5"/>
      <c r="Q58" s="5">
        <f>3201757-800439</f>
        <v>2401318</v>
      </c>
      <c r="R58" s="5">
        <v>0</v>
      </c>
      <c r="S58" s="5">
        <v>0</v>
      </c>
    </row>
    <row r="59" spans="1:19" ht="12.75">
      <c r="A59" s="16">
        <f t="shared" si="2"/>
        <v>43</v>
      </c>
      <c r="B59" s="3" t="s">
        <v>116</v>
      </c>
      <c r="C59" s="5">
        <f>SUM(M59:O59)</f>
        <v>-64317.49</v>
      </c>
      <c r="D59" s="5">
        <f>SUM(Q59:S59)</f>
        <v>-53060.31</v>
      </c>
      <c r="E59" s="5"/>
      <c r="F59" s="5"/>
      <c r="G59" s="5">
        <f>ROUND(SUM(C59:F59)/2,0)</f>
        <v>-58689</v>
      </c>
      <c r="H59" s="5"/>
      <c r="I59" s="5">
        <f>(+M59+Q59)/2</f>
        <v>-58688.899999999994</v>
      </c>
      <c r="J59" s="5">
        <f>(+N59+R59)/2</f>
        <v>0</v>
      </c>
      <c r="K59" s="5">
        <f>(+O59+S59)/2</f>
        <v>0</v>
      </c>
      <c r="L59" s="5"/>
      <c r="M59" s="5">
        <v>-64317.49</v>
      </c>
      <c r="N59" s="5">
        <v>0</v>
      </c>
      <c r="O59" s="5">
        <v>0</v>
      </c>
      <c r="P59" s="5"/>
      <c r="Q59" s="5">
        <v>-53060.31</v>
      </c>
      <c r="R59" s="5">
        <v>0</v>
      </c>
      <c r="S59" s="5">
        <v>0</v>
      </c>
    </row>
    <row r="60" spans="1:19" ht="12.75">
      <c r="A60" s="16">
        <f t="shared" si="2"/>
        <v>44</v>
      </c>
      <c r="B60" s="3" t="s">
        <v>76</v>
      </c>
      <c r="C60" s="5">
        <f t="shared" si="5"/>
        <v>-798375.82</v>
      </c>
      <c r="D60" s="5">
        <f t="shared" si="6"/>
        <v>-798375.82</v>
      </c>
      <c r="E60" s="5"/>
      <c r="F60" s="5"/>
      <c r="G60" s="5">
        <f t="shared" si="15"/>
        <v>-798376</v>
      </c>
      <c r="H60" s="5"/>
      <c r="I60" s="5">
        <f t="shared" si="8"/>
        <v>-798375.82</v>
      </c>
      <c r="J60" s="5">
        <f t="shared" si="9"/>
        <v>0</v>
      </c>
      <c r="K60" s="5">
        <f t="shared" si="10"/>
        <v>0</v>
      </c>
      <c r="L60" s="5"/>
      <c r="M60" s="5">
        <v>-798375.82</v>
      </c>
      <c r="N60" s="5">
        <v>0</v>
      </c>
      <c r="O60" s="5">
        <v>0</v>
      </c>
      <c r="P60" s="5"/>
      <c r="Q60" s="5">
        <v>-798375.82</v>
      </c>
      <c r="R60" s="5">
        <v>0</v>
      </c>
      <c r="S60" s="5">
        <v>0</v>
      </c>
    </row>
    <row r="61" spans="1:19" ht="12.75">
      <c r="A61" s="16">
        <f t="shared" si="2"/>
        <v>45</v>
      </c>
      <c r="B61" s="3" t="s">
        <v>77</v>
      </c>
      <c r="C61" s="5">
        <f t="shared" si="5"/>
        <v>-316318.7</v>
      </c>
      <c r="D61" s="5">
        <f t="shared" si="6"/>
        <v>-316318.7</v>
      </c>
      <c r="E61" s="5"/>
      <c r="F61" s="5"/>
      <c r="G61" s="5">
        <f t="shared" si="15"/>
        <v>-316319</v>
      </c>
      <c r="H61" s="5"/>
      <c r="I61" s="5">
        <f t="shared" si="8"/>
        <v>-316318.7</v>
      </c>
      <c r="J61" s="5">
        <f t="shared" si="9"/>
        <v>0</v>
      </c>
      <c r="K61" s="5">
        <f t="shared" si="10"/>
        <v>0</v>
      </c>
      <c r="L61" s="5"/>
      <c r="M61" s="5">
        <v>-316318.7</v>
      </c>
      <c r="N61" s="5">
        <v>0</v>
      </c>
      <c r="O61" s="5">
        <v>0</v>
      </c>
      <c r="P61" s="5"/>
      <c r="Q61" s="5">
        <v>-316318.7</v>
      </c>
      <c r="R61" s="5">
        <v>0</v>
      </c>
      <c r="S61" s="5">
        <v>0</v>
      </c>
    </row>
    <row r="62" spans="1:19" ht="12.75">
      <c r="A62" s="16">
        <f t="shared" si="2"/>
        <v>46</v>
      </c>
      <c r="B62" s="3" t="s">
        <v>78</v>
      </c>
      <c r="C62" s="5">
        <f t="shared" si="5"/>
        <v>312822</v>
      </c>
      <c r="D62" s="5">
        <f t="shared" si="6"/>
        <v>312822</v>
      </c>
      <c r="E62" s="5"/>
      <c r="F62" s="5"/>
      <c r="G62" s="5">
        <f t="shared" si="15"/>
        <v>312822</v>
      </c>
      <c r="H62" s="5"/>
      <c r="I62" s="5">
        <f t="shared" si="8"/>
        <v>312822</v>
      </c>
      <c r="J62" s="5">
        <f t="shared" si="9"/>
        <v>0</v>
      </c>
      <c r="K62" s="5">
        <f t="shared" si="10"/>
        <v>0</v>
      </c>
      <c r="L62" s="5"/>
      <c r="M62" s="5">
        <v>312822</v>
      </c>
      <c r="N62" s="5">
        <v>0</v>
      </c>
      <c r="O62" s="5">
        <v>0</v>
      </c>
      <c r="P62" s="5"/>
      <c r="Q62" s="5">
        <v>312822</v>
      </c>
      <c r="R62" s="5">
        <v>0</v>
      </c>
      <c r="S62" s="5">
        <v>0</v>
      </c>
    </row>
    <row r="63" spans="1:19" ht="12.75">
      <c r="A63" s="16">
        <f t="shared" si="2"/>
        <v>47</v>
      </c>
      <c r="B63" s="3" t="s">
        <v>108</v>
      </c>
      <c r="C63" s="5">
        <f>SUM(M63:O63)</f>
        <v>-1661681.35</v>
      </c>
      <c r="D63" s="5">
        <f>SUM(Q63:S63)</f>
        <v>-1661681.35</v>
      </c>
      <c r="E63" s="5"/>
      <c r="F63" s="5"/>
      <c r="G63" s="5">
        <f>ROUND(SUM(C63:F63)/2,0)</f>
        <v>-1661681</v>
      </c>
      <c r="H63" s="5"/>
      <c r="I63" s="5">
        <f>(+M63+Q63)/2</f>
        <v>-1661681.35</v>
      </c>
      <c r="J63" s="5">
        <f>(+N63+R63)/2</f>
        <v>0</v>
      </c>
      <c r="K63" s="5">
        <f>(+O63+S63)/2</f>
        <v>0</v>
      </c>
      <c r="L63" s="5"/>
      <c r="M63" s="5">
        <v>-1661681.35</v>
      </c>
      <c r="N63" s="5">
        <v>0</v>
      </c>
      <c r="O63" s="5">
        <v>0</v>
      </c>
      <c r="P63" s="5"/>
      <c r="Q63" s="5">
        <v>-1661681.35</v>
      </c>
      <c r="R63" s="5">
        <v>0</v>
      </c>
      <c r="S63" s="5">
        <v>0</v>
      </c>
    </row>
    <row r="64" spans="1:19" ht="12.75">
      <c r="A64" s="16">
        <f t="shared" si="2"/>
        <v>48</v>
      </c>
      <c r="B64" s="1" t="s">
        <v>25</v>
      </c>
      <c r="C64" s="5">
        <v>0</v>
      </c>
      <c r="D64" s="5">
        <v>0</v>
      </c>
      <c r="E64" s="5">
        <f aca="true" t="shared" si="18" ref="E64:F66">-C64</f>
        <v>0</v>
      </c>
      <c r="F64" s="5">
        <f t="shared" si="18"/>
        <v>0</v>
      </c>
      <c r="G64" s="5">
        <f t="shared" si="15"/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16">
        <f t="shared" si="2"/>
        <v>49</v>
      </c>
      <c r="B65" s="1" t="s">
        <v>38</v>
      </c>
      <c r="C65" s="5">
        <v>177249764.16</v>
      </c>
      <c r="D65" s="5">
        <v>190500169.5</v>
      </c>
      <c r="E65" s="5">
        <f t="shared" si="18"/>
        <v>-177249764.16</v>
      </c>
      <c r="F65" s="5">
        <f t="shared" si="18"/>
        <v>-190500169.5</v>
      </c>
      <c r="G65" s="5">
        <f t="shared" si="15"/>
        <v>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16">
        <f t="shared" si="2"/>
        <v>50</v>
      </c>
      <c r="B66" s="1" t="s">
        <v>39</v>
      </c>
      <c r="C66" s="5">
        <v>-2317278</v>
      </c>
      <c r="D66" s="5">
        <v>-2549013</v>
      </c>
      <c r="E66" s="5">
        <f t="shared" si="18"/>
        <v>2317278</v>
      </c>
      <c r="F66" s="5">
        <f t="shared" si="18"/>
        <v>2549013</v>
      </c>
      <c r="G66" s="5">
        <f t="shared" si="15"/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16">
        <f t="shared" si="2"/>
        <v>51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3.5" thickBot="1">
      <c r="A68" s="16">
        <f t="shared" si="2"/>
        <v>52</v>
      </c>
      <c r="B68" s="1" t="s">
        <v>40</v>
      </c>
      <c r="C68" s="17">
        <f>SUM(C30:C67)</f>
        <v>1329372459.5900004</v>
      </c>
      <c r="D68" s="17">
        <f>SUM(D30:D67)</f>
        <v>1224242076.92</v>
      </c>
      <c r="E68" s="17">
        <f>SUM(E30:E67)</f>
        <v>-174932486.16</v>
      </c>
      <c r="F68" s="17">
        <f>SUM(F30:F67)</f>
        <v>-187951156.5</v>
      </c>
      <c r="G68" s="17">
        <f>SUM(G30:G67)</f>
        <v>1095365448</v>
      </c>
      <c r="H68" s="17"/>
      <c r="I68" s="17">
        <f>SUM(I30:I67)</f>
        <v>457931219.51000005</v>
      </c>
      <c r="J68" s="17">
        <f>SUM(J30:J67)</f>
        <v>240671950.00999996</v>
      </c>
      <c r="K68" s="17">
        <f>SUM(K30:K67)</f>
        <v>396762277.4050001</v>
      </c>
      <c r="L68" s="17"/>
      <c r="M68" s="17">
        <f>SUM(M30:M67)</f>
        <v>478229054.74</v>
      </c>
      <c r="N68" s="17">
        <f>SUM(N30:N67)</f>
        <v>257761868.72</v>
      </c>
      <c r="O68" s="17">
        <f>SUM(O30:O67)</f>
        <v>418449049.96999997</v>
      </c>
      <c r="P68" s="5"/>
      <c r="Q68" s="17">
        <f>SUM(Q30:Q67)</f>
        <v>437633384.28</v>
      </c>
      <c r="R68" s="17">
        <f>SUM(R30:R67)</f>
        <v>223582031.29999995</v>
      </c>
      <c r="S68" s="17">
        <f>SUM(S30:S67)</f>
        <v>375075504.84000003</v>
      </c>
    </row>
    <row r="69" spans="1:19" ht="13.5" thickTop="1">
      <c r="A69" s="16">
        <f t="shared" si="2"/>
        <v>53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5"/>
      <c r="Q69" s="18"/>
      <c r="R69" s="18"/>
      <c r="S69" s="18"/>
    </row>
    <row r="70" spans="1:19" ht="12.75">
      <c r="A70" s="16">
        <f t="shared" si="2"/>
        <v>54</v>
      </c>
      <c r="B70" s="1"/>
      <c r="C70" s="5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2.75">
      <c r="A71" s="16">
        <f t="shared" si="2"/>
        <v>55</v>
      </c>
      <c r="B71" s="3" t="s">
        <v>65</v>
      </c>
      <c r="C71" s="5" t="s">
        <v>24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2.75">
      <c r="A72" s="16">
        <f t="shared" si="2"/>
        <v>56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>
      <c r="A73" s="16">
        <f t="shared" si="2"/>
        <v>57</v>
      </c>
      <c r="B73" s="3" t="s">
        <v>110</v>
      </c>
      <c r="C73" s="5">
        <f aca="true" t="shared" si="19" ref="C73:C94">SUM(M73:O73)</f>
        <v>122103305.82</v>
      </c>
      <c r="D73" s="5">
        <f aca="true" t="shared" si="20" ref="D73:D94">SUM(Q73:S73)</f>
        <v>124288376.4</v>
      </c>
      <c r="E73" s="5"/>
      <c r="F73" s="5"/>
      <c r="G73" s="5">
        <f aca="true" t="shared" si="21" ref="G73:G94">ROUND(SUM(C73:F73)/2,0)</f>
        <v>123195841</v>
      </c>
      <c r="H73" s="5"/>
      <c r="I73" s="5">
        <f>(+M73+Q73)/2</f>
        <v>123195841.11</v>
      </c>
      <c r="J73" s="5">
        <f>(+N73+R73)/2</f>
        <v>0</v>
      </c>
      <c r="K73" s="5">
        <f>(+O73+S73)/2</f>
        <v>0</v>
      </c>
      <c r="L73" s="5"/>
      <c r="M73" s="5">
        <v>122103305.82</v>
      </c>
      <c r="N73" s="5">
        <v>0</v>
      </c>
      <c r="O73" s="5">
        <v>0</v>
      </c>
      <c r="P73" s="5"/>
      <c r="Q73" s="5">
        <v>124288376.4</v>
      </c>
      <c r="R73" s="5">
        <v>0</v>
      </c>
      <c r="S73" s="5">
        <v>0</v>
      </c>
    </row>
    <row r="74" spans="1:19" ht="12.75">
      <c r="A74" s="16">
        <f t="shared" si="2"/>
        <v>58</v>
      </c>
      <c r="B74" s="3" t="s">
        <v>79</v>
      </c>
      <c r="C74" s="5">
        <f t="shared" si="19"/>
        <v>14386634.04</v>
      </c>
      <c r="D74" s="5">
        <f t="shared" si="20"/>
        <v>6405042.94</v>
      </c>
      <c r="E74" s="5"/>
      <c r="F74" s="5"/>
      <c r="G74" s="5">
        <f t="shared" si="21"/>
        <v>10395838</v>
      </c>
      <c r="H74" s="5"/>
      <c r="I74" s="5">
        <f aca="true" t="shared" si="22" ref="I74:K75">(+M74+Q74)/2</f>
        <v>10395838.49</v>
      </c>
      <c r="J74" s="5">
        <f t="shared" si="22"/>
        <v>0</v>
      </c>
      <c r="K74" s="5">
        <f t="shared" si="22"/>
        <v>0</v>
      </c>
      <c r="L74" s="5"/>
      <c r="M74" s="5">
        <v>14386634.04</v>
      </c>
      <c r="N74" s="5">
        <v>0</v>
      </c>
      <c r="O74" s="5">
        <v>0</v>
      </c>
      <c r="P74" s="5"/>
      <c r="Q74" s="5">
        <v>6405042.94</v>
      </c>
      <c r="R74" s="5">
        <v>0</v>
      </c>
      <c r="S74" s="5">
        <v>0</v>
      </c>
    </row>
    <row r="75" spans="1:19" ht="12.75">
      <c r="A75" s="16">
        <f t="shared" si="2"/>
        <v>59</v>
      </c>
      <c r="B75" s="3" t="s">
        <v>117</v>
      </c>
      <c r="C75" s="5">
        <f t="shared" si="19"/>
        <v>110315.15</v>
      </c>
      <c r="D75" s="5">
        <f t="shared" si="20"/>
        <v>110315.15</v>
      </c>
      <c r="E75" s="5"/>
      <c r="F75" s="5"/>
      <c r="G75" s="5">
        <f t="shared" si="21"/>
        <v>110315</v>
      </c>
      <c r="H75" s="5"/>
      <c r="I75" s="5">
        <f t="shared" si="22"/>
        <v>110315.15</v>
      </c>
      <c r="J75" s="5">
        <f t="shared" si="22"/>
        <v>0</v>
      </c>
      <c r="K75" s="5">
        <f t="shared" si="22"/>
        <v>0</v>
      </c>
      <c r="L75" s="5"/>
      <c r="M75" s="5">
        <v>110315.15</v>
      </c>
      <c r="N75" s="5">
        <v>0</v>
      </c>
      <c r="O75" s="5">
        <v>0</v>
      </c>
      <c r="P75" s="5"/>
      <c r="Q75" s="5">
        <v>110315.15</v>
      </c>
      <c r="R75" s="5">
        <v>0</v>
      </c>
      <c r="S75" s="5">
        <v>0</v>
      </c>
    </row>
    <row r="76" spans="1:19" ht="12.75">
      <c r="A76" s="16">
        <f t="shared" si="2"/>
        <v>60</v>
      </c>
      <c r="B76" s="3" t="s">
        <v>126</v>
      </c>
      <c r="C76" s="5">
        <f t="shared" si="19"/>
        <v>-2450303.74</v>
      </c>
      <c r="D76" s="5">
        <f t="shared" si="20"/>
        <v>-1132667.08</v>
      </c>
      <c r="E76" s="5"/>
      <c r="F76" s="5"/>
      <c r="G76" s="5">
        <f t="shared" si="21"/>
        <v>-1791485</v>
      </c>
      <c r="H76" s="5"/>
      <c r="I76" s="5">
        <f aca="true" t="shared" si="23" ref="I76:K84">(+M76+Q76)/2</f>
        <v>-1791485.4100000001</v>
      </c>
      <c r="J76" s="5">
        <f t="shared" si="23"/>
        <v>0</v>
      </c>
      <c r="K76" s="5">
        <f t="shared" si="23"/>
        <v>0</v>
      </c>
      <c r="L76" s="5"/>
      <c r="M76" s="5">
        <v>-2450303.74</v>
      </c>
      <c r="N76" s="5">
        <v>0</v>
      </c>
      <c r="O76" s="5">
        <v>0</v>
      </c>
      <c r="P76" s="5"/>
      <c r="Q76" s="5">
        <v>-1132667.08</v>
      </c>
      <c r="R76" s="5">
        <v>0</v>
      </c>
      <c r="S76" s="5">
        <v>0</v>
      </c>
    </row>
    <row r="77" spans="1:19" ht="12.75">
      <c r="A77" s="16">
        <f t="shared" si="2"/>
        <v>61</v>
      </c>
      <c r="B77" s="3" t="s">
        <v>132</v>
      </c>
      <c r="C77" s="5">
        <f>SUM(M77:O77)</f>
        <v>-3013103.45</v>
      </c>
      <c r="D77" s="5">
        <f>SUM(Q77:S77)</f>
        <v>0</v>
      </c>
      <c r="E77" s="5"/>
      <c r="F77" s="5"/>
      <c r="G77" s="5">
        <f t="shared" si="21"/>
        <v>-1506552</v>
      </c>
      <c r="H77" s="5"/>
      <c r="I77" s="5">
        <f>(+M77+Q77)/2</f>
        <v>-1506551.725</v>
      </c>
      <c r="J77" s="5">
        <f>(+N77+R77)/2</f>
        <v>0</v>
      </c>
      <c r="K77" s="5">
        <f>(+O77+S77)/2</f>
        <v>0</v>
      </c>
      <c r="L77" s="5"/>
      <c r="M77" s="5">
        <v>-3013103.45</v>
      </c>
      <c r="N77" s="5">
        <v>0</v>
      </c>
      <c r="O77" s="5">
        <v>0</v>
      </c>
      <c r="P77" s="5"/>
      <c r="Q77" s="5">
        <v>0</v>
      </c>
      <c r="R77" s="5">
        <v>0</v>
      </c>
      <c r="S77" s="5">
        <v>0</v>
      </c>
    </row>
    <row r="78" spans="1:19" ht="12.75">
      <c r="A78" s="16">
        <f t="shared" si="2"/>
        <v>62</v>
      </c>
      <c r="B78" s="3" t="s">
        <v>109</v>
      </c>
      <c r="C78" s="5">
        <f t="shared" si="19"/>
        <v>4354053.48</v>
      </c>
      <c r="D78" s="5">
        <f t="shared" si="20"/>
        <v>3869782.598</v>
      </c>
      <c r="E78" s="5"/>
      <c r="F78" s="5"/>
      <c r="G78" s="5">
        <f t="shared" si="21"/>
        <v>4111918</v>
      </c>
      <c r="H78" s="5"/>
      <c r="I78" s="5">
        <f t="shared" si="23"/>
        <v>43858.234</v>
      </c>
      <c r="J78" s="5">
        <f t="shared" si="23"/>
        <v>1113828.97</v>
      </c>
      <c r="K78" s="5">
        <f t="shared" si="23"/>
        <v>2954230.835</v>
      </c>
      <c r="L78" s="5"/>
      <c r="M78" s="5">
        <v>131376.19</v>
      </c>
      <c r="N78" s="5">
        <v>1246189.79</v>
      </c>
      <c r="O78" s="5">
        <v>2976487.5</v>
      </c>
      <c r="P78" s="5"/>
      <c r="Q78" s="5">
        <v>-43659.722</v>
      </c>
      <c r="R78" s="5">
        <v>981468.15</v>
      </c>
      <c r="S78" s="5">
        <v>2931974.17</v>
      </c>
    </row>
    <row r="79" spans="1:19" ht="12.75">
      <c r="A79" s="16">
        <f t="shared" si="2"/>
        <v>63</v>
      </c>
      <c r="B79" s="3" t="s">
        <v>41</v>
      </c>
      <c r="C79" s="5">
        <f t="shared" si="19"/>
        <v>16886843.05</v>
      </c>
      <c r="D79" s="5">
        <f t="shared" si="20"/>
        <v>21826049.669999998</v>
      </c>
      <c r="E79" s="5"/>
      <c r="F79" s="5"/>
      <c r="G79" s="5">
        <f t="shared" si="21"/>
        <v>19356446</v>
      </c>
      <c r="H79" s="5"/>
      <c r="I79" s="5">
        <f t="shared" si="23"/>
        <v>19356446.36</v>
      </c>
      <c r="J79" s="5">
        <f t="shared" si="23"/>
        <v>0</v>
      </c>
      <c r="K79" s="5">
        <f t="shared" si="23"/>
        <v>0</v>
      </c>
      <c r="L79" s="5"/>
      <c r="M79" s="5">
        <f>17040765.12-153922.07</f>
        <v>16886843.05</v>
      </c>
      <c r="N79" s="5">
        <v>0</v>
      </c>
      <c r="O79" s="5">
        <v>0</v>
      </c>
      <c r="P79" s="5"/>
      <c r="Q79" s="5">
        <f>21979971.74-153922.07</f>
        <v>21826049.669999998</v>
      </c>
      <c r="R79" s="5">
        <v>0</v>
      </c>
      <c r="S79" s="5">
        <v>0</v>
      </c>
    </row>
    <row r="80" spans="1:19" ht="12.75">
      <c r="A80" s="16">
        <f t="shared" si="2"/>
        <v>64</v>
      </c>
      <c r="B80" s="3" t="s">
        <v>101</v>
      </c>
      <c r="C80" s="5">
        <f t="shared" si="19"/>
        <v>213026.1</v>
      </c>
      <c r="D80" s="5">
        <f t="shared" si="20"/>
        <v>0.06</v>
      </c>
      <c r="E80" s="5"/>
      <c r="F80" s="5"/>
      <c r="G80" s="5">
        <f t="shared" si="21"/>
        <v>106513</v>
      </c>
      <c r="H80" s="5"/>
      <c r="I80" s="5">
        <f t="shared" si="23"/>
        <v>106513.08</v>
      </c>
      <c r="J80" s="5">
        <f t="shared" si="23"/>
        <v>0</v>
      </c>
      <c r="K80" s="5">
        <f t="shared" si="23"/>
        <v>0</v>
      </c>
      <c r="L80" s="5"/>
      <c r="M80" s="5">
        <v>213026.1</v>
      </c>
      <c r="N80" s="5">
        <v>0</v>
      </c>
      <c r="O80" s="5">
        <v>0</v>
      </c>
      <c r="P80" s="5"/>
      <c r="Q80" s="5">
        <v>0.06</v>
      </c>
      <c r="R80" s="5">
        <v>0</v>
      </c>
      <c r="S80" s="5">
        <v>0</v>
      </c>
    </row>
    <row r="81" spans="1:19" ht="12.75">
      <c r="A81" s="16">
        <f t="shared" si="2"/>
        <v>65</v>
      </c>
      <c r="B81" s="3" t="s">
        <v>57</v>
      </c>
      <c r="C81" s="5">
        <f t="shared" si="19"/>
        <v>59784586.78</v>
      </c>
      <c r="D81" s="5">
        <f t="shared" si="20"/>
        <v>47533727.86</v>
      </c>
      <c r="E81" s="5"/>
      <c r="F81" s="5"/>
      <c r="G81" s="5">
        <f t="shared" si="21"/>
        <v>53659157</v>
      </c>
      <c r="H81" s="5"/>
      <c r="I81" s="5">
        <f t="shared" si="23"/>
        <v>22523172.155</v>
      </c>
      <c r="J81" s="5">
        <f t="shared" si="23"/>
        <v>2542860.965</v>
      </c>
      <c r="K81" s="5">
        <f t="shared" si="23"/>
        <v>28593124.2</v>
      </c>
      <c r="L81" s="5"/>
      <c r="M81" s="5">
        <v>25517431.82</v>
      </c>
      <c r="N81" s="5">
        <v>2823576.72</v>
      </c>
      <c r="O81" s="5">
        <f>31443578.24</f>
        <v>31443578.24</v>
      </c>
      <c r="P81" s="5"/>
      <c r="Q81" s="5">
        <v>19528912.49</v>
      </c>
      <c r="R81" s="5">
        <v>2262145.21</v>
      </c>
      <c r="S81" s="5">
        <v>25742670.16</v>
      </c>
    </row>
    <row r="82" spans="1:19" ht="12.75">
      <c r="A82" s="16">
        <f aca="true" t="shared" si="24" ref="A82:A143">A81+1</f>
        <v>66</v>
      </c>
      <c r="B82" s="3" t="s">
        <v>93</v>
      </c>
      <c r="C82" s="5">
        <f t="shared" si="19"/>
        <v>-106870113.35</v>
      </c>
      <c r="D82" s="5">
        <f t="shared" si="20"/>
        <v>-101160215.44999999</v>
      </c>
      <c r="E82" s="5"/>
      <c r="F82" s="5"/>
      <c r="G82" s="5">
        <f t="shared" si="21"/>
        <v>-104015164</v>
      </c>
      <c r="H82" s="5"/>
      <c r="I82" s="5">
        <f t="shared" si="23"/>
        <v>-41161708.525</v>
      </c>
      <c r="J82" s="5">
        <f t="shared" si="23"/>
        <v>-6698504.574999999</v>
      </c>
      <c r="K82" s="5">
        <f t="shared" si="23"/>
        <v>-56154951.3</v>
      </c>
      <c r="L82" s="5"/>
      <c r="M82" s="5">
        <v>-42243811.4</v>
      </c>
      <c r="N82" s="5">
        <v>-6925761.85</v>
      </c>
      <c r="O82" s="5">
        <v>-57700540.1</v>
      </c>
      <c r="P82" s="5"/>
      <c r="Q82" s="5">
        <v>-40079605.65</v>
      </c>
      <c r="R82" s="5">
        <v>-6471247.3</v>
      </c>
      <c r="S82" s="5">
        <v>-54609362.5</v>
      </c>
    </row>
    <row r="83" spans="1:19" ht="12.75">
      <c r="A83" s="16">
        <f t="shared" si="24"/>
        <v>67</v>
      </c>
      <c r="B83" s="3" t="s">
        <v>80</v>
      </c>
      <c r="C83" s="5">
        <f t="shared" si="19"/>
        <v>1592463.68</v>
      </c>
      <c r="D83" s="5">
        <f t="shared" si="20"/>
        <v>1459818.64</v>
      </c>
      <c r="E83" s="5"/>
      <c r="F83" s="5"/>
      <c r="G83" s="5">
        <f t="shared" si="21"/>
        <v>1526141</v>
      </c>
      <c r="H83" s="5"/>
      <c r="I83" s="5">
        <f t="shared" si="23"/>
        <v>0</v>
      </c>
      <c r="J83" s="5">
        <f t="shared" si="23"/>
        <v>1526141.16</v>
      </c>
      <c r="K83" s="5">
        <f t="shared" si="23"/>
        <v>0</v>
      </c>
      <c r="L83" s="5"/>
      <c r="M83" s="5">
        <v>0</v>
      </c>
      <c r="N83" s="5">
        <v>1592463.68</v>
      </c>
      <c r="O83" s="5">
        <v>0</v>
      </c>
      <c r="P83" s="5"/>
      <c r="Q83" s="5">
        <v>0</v>
      </c>
      <c r="R83" s="5">
        <v>1459818.64</v>
      </c>
      <c r="S83" s="5">
        <v>0</v>
      </c>
    </row>
    <row r="84" spans="1:19" ht="12.75">
      <c r="A84" s="16">
        <f t="shared" si="24"/>
        <v>68</v>
      </c>
      <c r="B84" s="3" t="s">
        <v>102</v>
      </c>
      <c r="C84" s="5">
        <f t="shared" si="19"/>
        <v>19411773.5</v>
      </c>
      <c r="D84" s="5">
        <f t="shared" si="20"/>
        <v>24991835.05</v>
      </c>
      <c r="E84" s="5"/>
      <c r="F84" s="5"/>
      <c r="G84" s="5">
        <f t="shared" si="21"/>
        <v>22201804</v>
      </c>
      <c r="H84" s="5"/>
      <c r="I84" s="5">
        <f t="shared" si="23"/>
        <v>22201804.275</v>
      </c>
      <c r="J84" s="5">
        <f t="shared" si="23"/>
        <v>0</v>
      </c>
      <c r="K84" s="5">
        <f t="shared" si="23"/>
        <v>0</v>
      </c>
      <c r="L84" s="5"/>
      <c r="M84" s="5">
        <v>19411773.5</v>
      </c>
      <c r="N84" s="5">
        <v>0</v>
      </c>
      <c r="O84" s="5">
        <v>0</v>
      </c>
      <c r="P84" s="5"/>
      <c r="Q84" s="5">
        <v>24991835.05</v>
      </c>
      <c r="R84" s="5">
        <v>0</v>
      </c>
      <c r="S84" s="5">
        <v>0</v>
      </c>
    </row>
    <row r="85" spans="1:19" ht="12.75">
      <c r="A85" s="16">
        <f t="shared" si="24"/>
        <v>69</v>
      </c>
      <c r="B85" s="3" t="s">
        <v>94</v>
      </c>
      <c r="C85" s="5">
        <f t="shared" si="19"/>
        <v>635174.41</v>
      </c>
      <c r="D85" s="5">
        <f t="shared" si="20"/>
        <v>1614816.3900000001</v>
      </c>
      <c r="E85" s="5"/>
      <c r="F85" s="5"/>
      <c r="G85" s="5">
        <f t="shared" si="21"/>
        <v>1124995</v>
      </c>
      <c r="H85" s="5"/>
      <c r="I85" s="5">
        <f aca="true" t="shared" si="25" ref="I85:K86">(+M85+Q85)/2</f>
        <v>0</v>
      </c>
      <c r="J85" s="5">
        <f t="shared" si="25"/>
        <v>181437.145</v>
      </c>
      <c r="K85" s="5">
        <f t="shared" si="25"/>
        <v>943558.2550000001</v>
      </c>
      <c r="L85" s="5"/>
      <c r="M85" s="5">
        <v>0</v>
      </c>
      <c r="N85" s="5">
        <v>122535.51</v>
      </c>
      <c r="O85" s="6">
        <v>512638.9</v>
      </c>
      <c r="P85" s="5"/>
      <c r="Q85" s="5">
        <v>0</v>
      </c>
      <c r="R85" s="5">
        <v>240338.78</v>
      </c>
      <c r="S85" s="6">
        <v>1374477.61</v>
      </c>
    </row>
    <row r="86" spans="1:19" ht="12.75">
      <c r="A86" s="16">
        <f t="shared" si="24"/>
        <v>70</v>
      </c>
      <c r="B86" s="3" t="s">
        <v>95</v>
      </c>
      <c r="C86" s="5">
        <f t="shared" si="19"/>
        <v>-120836.8</v>
      </c>
      <c r="D86" s="5">
        <f t="shared" si="20"/>
        <v>-137941.3</v>
      </c>
      <c r="E86" s="5"/>
      <c r="F86" s="5"/>
      <c r="G86" s="5">
        <f t="shared" si="21"/>
        <v>-129389</v>
      </c>
      <c r="H86" s="5"/>
      <c r="I86" s="5">
        <f t="shared" si="25"/>
        <v>0</v>
      </c>
      <c r="J86" s="5">
        <f t="shared" si="25"/>
        <v>-63704.899999999994</v>
      </c>
      <c r="K86" s="5">
        <f t="shared" si="25"/>
        <v>-65684.15</v>
      </c>
      <c r="L86" s="5"/>
      <c r="M86" s="5">
        <v>0</v>
      </c>
      <c r="N86" s="5">
        <v>-59853.15</v>
      </c>
      <c r="O86" s="5">
        <v>-60983.65</v>
      </c>
      <c r="P86" s="5"/>
      <c r="Q86" s="5">
        <v>0</v>
      </c>
      <c r="R86" s="5">
        <v>-67556.65</v>
      </c>
      <c r="S86" s="5">
        <v>-70384.65</v>
      </c>
    </row>
    <row r="87" spans="1:19" ht="12.75">
      <c r="A87" s="16">
        <f t="shared" si="24"/>
        <v>71</v>
      </c>
      <c r="B87" s="3" t="s">
        <v>125</v>
      </c>
      <c r="C87" s="5">
        <f t="shared" si="19"/>
        <v>14542043.89</v>
      </c>
      <c r="D87" s="5">
        <f t="shared" si="20"/>
        <v>8828713.26</v>
      </c>
      <c r="E87" s="5"/>
      <c r="F87" s="5"/>
      <c r="G87" s="5">
        <f t="shared" si="21"/>
        <v>11685379</v>
      </c>
      <c r="H87" s="5"/>
      <c r="I87" s="5">
        <f aca="true" t="shared" si="26" ref="I87:K94">(+M87+Q87)/2</f>
        <v>0</v>
      </c>
      <c r="J87" s="5">
        <f t="shared" si="26"/>
        <v>0</v>
      </c>
      <c r="K87" s="5">
        <f t="shared" si="26"/>
        <v>11685378.575</v>
      </c>
      <c r="L87" s="5"/>
      <c r="M87" s="5">
        <v>0</v>
      </c>
      <c r="N87" s="5">
        <v>0</v>
      </c>
      <c r="O87" s="5">
        <v>14542043.89</v>
      </c>
      <c r="P87" s="5"/>
      <c r="Q87" s="5">
        <v>0</v>
      </c>
      <c r="R87" s="5">
        <v>0</v>
      </c>
      <c r="S87" s="5">
        <v>8828713.26</v>
      </c>
    </row>
    <row r="88" spans="1:19" ht="12.75">
      <c r="A88" s="16">
        <f t="shared" si="24"/>
        <v>72</v>
      </c>
      <c r="B88" s="3" t="s">
        <v>96</v>
      </c>
      <c r="C88" s="5">
        <f t="shared" si="19"/>
        <v>-0.19999999999999998</v>
      </c>
      <c r="D88" s="5">
        <f t="shared" si="20"/>
        <v>0.27999999999999997</v>
      </c>
      <c r="E88" s="5"/>
      <c r="F88" s="5"/>
      <c r="G88" s="5">
        <f t="shared" si="21"/>
        <v>0</v>
      </c>
      <c r="H88" s="5"/>
      <c r="I88" s="5">
        <f t="shared" si="26"/>
        <v>0</v>
      </c>
      <c r="J88" s="5">
        <f t="shared" si="26"/>
        <v>0</v>
      </c>
      <c r="K88" s="5">
        <f t="shared" si="26"/>
        <v>0.04</v>
      </c>
      <c r="L88" s="5"/>
      <c r="M88" s="5">
        <v>-0.08</v>
      </c>
      <c r="N88" s="5">
        <v>-0.16</v>
      </c>
      <c r="O88" s="5">
        <v>0.04</v>
      </c>
      <c r="P88" s="5"/>
      <c r="Q88" s="5">
        <v>0.08</v>
      </c>
      <c r="R88" s="5">
        <v>0.16</v>
      </c>
      <c r="S88" s="5">
        <v>0.04</v>
      </c>
    </row>
    <row r="89" spans="1:19" ht="12.75">
      <c r="A89" s="16">
        <f t="shared" si="24"/>
        <v>73</v>
      </c>
      <c r="B89" s="3" t="s">
        <v>58</v>
      </c>
      <c r="C89" s="5">
        <f t="shared" si="19"/>
        <v>17554090.35</v>
      </c>
      <c r="D89" s="5">
        <f t="shared" si="20"/>
        <v>3406378.45</v>
      </c>
      <c r="E89" s="5"/>
      <c r="F89" s="5"/>
      <c r="G89" s="5">
        <f t="shared" si="21"/>
        <v>10480234</v>
      </c>
      <c r="H89" s="5"/>
      <c r="I89" s="5">
        <f t="shared" si="26"/>
        <v>10480234.4</v>
      </c>
      <c r="J89" s="5">
        <f t="shared" si="26"/>
        <v>0</v>
      </c>
      <c r="K89" s="5">
        <f t="shared" si="26"/>
        <v>0</v>
      </c>
      <c r="L89" s="5"/>
      <c r="M89" s="5">
        <v>17554090.35</v>
      </c>
      <c r="N89" s="5">
        <v>0</v>
      </c>
      <c r="O89" s="5">
        <v>0</v>
      </c>
      <c r="P89" s="5"/>
      <c r="Q89" s="5">
        <v>3406378.45</v>
      </c>
      <c r="R89" s="5">
        <v>0</v>
      </c>
      <c r="S89" s="5">
        <v>0</v>
      </c>
    </row>
    <row r="90" spans="1:19" ht="12.75">
      <c r="A90" s="16">
        <f t="shared" si="24"/>
        <v>74</v>
      </c>
      <c r="B90" s="3" t="s">
        <v>118</v>
      </c>
      <c r="C90" s="5">
        <f t="shared" si="19"/>
        <v>-61617.85</v>
      </c>
      <c r="D90" s="5">
        <f t="shared" si="20"/>
        <v>-61617.85</v>
      </c>
      <c r="E90" s="5"/>
      <c r="F90" s="5"/>
      <c r="G90" s="5">
        <f t="shared" si="21"/>
        <v>-61618</v>
      </c>
      <c r="H90" s="5"/>
      <c r="I90" s="5">
        <f t="shared" si="26"/>
        <v>-61617.85</v>
      </c>
      <c r="J90" s="5">
        <f t="shared" si="26"/>
        <v>0</v>
      </c>
      <c r="K90" s="5">
        <f t="shared" si="26"/>
        <v>0</v>
      </c>
      <c r="L90" s="5"/>
      <c r="M90" s="5">
        <v>-61617.85</v>
      </c>
      <c r="N90" s="5">
        <v>0</v>
      </c>
      <c r="O90" s="5">
        <v>0</v>
      </c>
      <c r="P90" s="5"/>
      <c r="Q90" s="5">
        <v>-61617.85</v>
      </c>
      <c r="R90" s="5">
        <v>0</v>
      </c>
      <c r="S90" s="5">
        <v>0</v>
      </c>
    </row>
    <row r="91" spans="1:19" ht="12.75">
      <c r="A91" s="16">
        <f t="shared" si="24"/>
        <v>75</v>
      </c>
      <c r="B91" s="3" t="s">
        <v>42</v>
      </c>
      <c r="C91" s="5">
        <f t="shared" si="19"/>
        <v>0.25</v>
      </c>
      <c r="D91" s="5">
        <f t="shared" si="20"/>
        <v>52247.2</v>
      </c>
      <c r="E91" s="5"/>
      <c r="F91" s="5"/>
      <c r="G91" s="5">
        <f t="shared" si="21"/>
        <v>26124</v>
      </c>
      <c r="H91" s="5"/>
      <c r="I91" s="5">
        <f t="shared" si="26"/>
        <v>26123.725</v>
      </c>
      <c r="J91" s="5">
        <f t="shared" si="26"/>
        <v>0</v>
      </c>
      <c r="K91" s="5">
        <f t="shared" si="26"/>
        <v>0</v>
      </c>
      <c r="L91" s="5"/>
      <c r="M91" s="5">
        <v>0.25</v>
      </c>
      <c r="N91" s="5">
        <v>0</v>
      </c>
      <c r="O91" s="5">
        <v>0</v>
      </c>
      <c r="P91" s="5"/>
      <c r="Q91" s="5">
        <v>52247.2</v>
      </c>
      <c r="R91" s="5">
        <v>0</v>
      </c>
      <c r="S91" s="5">
        <v>0</v>
      </c>
    </row>
    <row r="92" spans="1:19" ht="12.75">
      <c r="A92" s="16">
        <f t="shared" si="24"/>
        <v>76</v>
      </c>
      <c r="B92" s="3" t="s">
        <v>81</v>
      </c>
      <c r="C92" s="5">
        <f t="shared" si="19"/>
        <v>1218389.76</v>
      </c>
      <c r="D92" s="5">
        <f t="shared" si="20"/>
        <v>1412513.68</v>
      </c>
      <c r="E92" s="5"/>
      <c r="F92" s="5"/>
      <c r="G92" s="5">
        <f t="shared" si="21"/>
        <v>1315452</v>
      </c>
      <c r="H92" s="5"/>
      <c r="I92" s="5">
        <f t="shared" si="26"/>
        <v>0</v>
      </c>
      <c r="J92" s="5">
        <f t="shared" si="26"/>
        <v>0</v>
      </c>
      <c r="K92" s="5">
        <f t="shared" si="26"/>
        <v>1315451.72</v>
      </c>
      <c r="L92" s="5"/>
      <c r="M92" s="5">
        <v>0</v>
      </c>
      <c r="N92" s="5">
        <v>0</v>
      </c>
      <c r="O92" s="5">
        <v>1218389.76</v>
      </c>
      <c r="P92" s="5"/>
      <c r="Q92" s="5">
        <v>0</v>
      </c>
      <c r="R92" s="5">
        <v>0</v>
      </c>
      <c r="S92" s="5">
        <v>1412513.68</v>
      </c>
    </row>
    <row r="93" spans="1:19" ht="12.75">
      <c r="A93" s="16">
        <f t="shared" si="24"/>
        <v>77</v>
      </c>
      <c r="B93" s="3" t="s">
        <v>82</v>
      </c>
      <c r="C93" s="5">
        <f t="shared" si="19"/>
        <v>-0.97</v>
      </c>
      <c r="D93" s="5">
        <f t="shared" si="20"/>
        <v>-0.97</v>
      </c>
      <c r="E93" s="5"/>
      <c r="F93" s="5"/>
      <c r="G93" s="5">
        <f t="shared" si="21"/>
        <v>-1</v>
      </c>
      <c r="H93" s="5"/>
      <c r="I93" s="5">
        <f t="shared" si="26"/>
        <v>0</v>
      </c>
      <c r="J93" s="5">
        <f t="shared" si="26"/>
        <v>0</v>
      </c>
      <c r="K93" s="5">
        <f t="shared" si="26"/>
        <v>-0.97</v>
      </c>
      <c r="L93" s="5"/>
      <c r="M93" s="5">
        <v>0</v>
      </c>
      <c r="N93" s="5">
        <v>0</v>
      </c>
      <c r="O93" s="5">
        <v>-0.97</v>
      </c>
      <c r="P93" s="5"/>
      <c r="Q93" s="5">
        <v>0</v>
      </c>
      <c r="R93" s="5">
        <v>0</v>
      </c>
      <c r="S93" s="5">
        <v>-0.97</v>
      </c>
    </row>
    <row r="94" spans="1:19" ht="12.75">
      <c r="A94" s="16">
        <f t="shared" si="24"/>
        <v>78</v>
      </c>
      <c r="B94" s="3" t="s">
        <v>59</v>
      </c>
      <c r="C94" s="5">
        <f t="shared" si="19"/>
        <v>3683423.92</v>
      </c>
      <c r="D94" s="5">
        <f t="shared" si="20"/>
        <v>4395827.1</v>
      </c>
      <c r="E94" s="5"/>
      <c r="F94" s="5"/>
      <c r="G94" s="5">
        <f t="shared" si="21"/>
        <v>4039626</v>
      </c>
      <c r="H94" s="5"/>
      <c r="I94" s="5">
        <f t="shared" si="26"/>
        <v>4039625.51</v>
      </c>
      <c r="J94" s="5">
        <f t="shared" si="26"/>
        <v>0</v>
      </c>
      <c r="K94" s="5">
        <f t="shared" si="26"/>
        <v>0</v>
      </c>
      <c r="L94" s="5"/>
      <c r="M94" s="5">
        <v>3683423.92</v>
      </c>
      <c r="N94" s="5">
        <v>0</v>
      </c>
      <c r="O94" s="5">
        <v>0</v>
      </c>
      <c r="P94" s="5"/>
      <c r="Q94" s="5">
        <v>4395827.1</v>
      </c>
      <c r="R94" s="5">
        <v>0</v>
      </c>
      <c r="S94" s="5">
        <v>0</v>
      </c>
    </row>
    <row r="95" spans="1:19" ht="12.75">
      <c r="A95" s="16">
        <f t="shared" si="24"/>
        <v>79</v>
      </c>
      <c r="B95" s="3" t="s">
        <v>97</v>
      </c>
      <c r="C95" s="5">
        <f aca="true" t="shared" si="27" ref="C95:C101">SUM(M95:O95)</f>
        <v>106870113.35</v>
      </c>
      <c r="D95" s="5">
        <f aca="true" t="shared" si="28" ref="D95:D101">SUM(Q95:S95)</f>
        <v>101160215.44999999</v>
      </c>
      <c r="E95" s="5"/>
      <c r="F95" s="5"/>
      <c r="G95" s="5">
        <f aca="true" t="shared" si="29" ref="G95:G101">ROUND(SUM(C95:F95)/2,0)</f>
        <v>104015164</v>
      </c>
      <c r="H95" s="5"/>
      <c r="I95" s="5">
        <f aca="true" t="shared" si="30" ref="I95:K97">(+M95+Q95)/2</f>
        <v>41161708.525</v>
      </c>
      <c r="J95" s="5">
        <f t="shared" si="30"/>
        <v>6698504.574999999</v>
      </c>
      <c r="K95" s="5">
        <f t="shared" si="30"/>
        <v>56154951.3</v>
      </c>
      <c r="L95" s="5"/>
      <c r="M95" s="5">
        <v>42243811.4</v>
      </c>
      <c r="N95" s="5">
        <v>6925761.85</v>
      </c>
      <c r="O95" s="5">
        <f>57700540.1</f>
        <v>57700540.1</v>
      </c>
      <c r="P95" s="5"/>
      <c r="Q95" s="5">
        <v>40079605.65</v>
      </c>
      <c r="R95" s="5">
        <v>6471247.3</v>
      </c>
      <c r="S95" s="5">
        <v>54609362.5</v>
      </c>
    </row>
    <row r="96" spans="1:19" ht="12.75">
      <c r="A96" s="16">
        <f t="shared" si="24"/>
        <v>80</v>
      </c>
      <c r="B96" s="3" t="s">
        <v>98</v>
      </c>
      <c r="C96" s="5">
        <f t="shared" si="27"/>
        <v>75232.5</v>
      </c>
      <c r="D96" s="5">
        <f t="shared" si="28"/>
        <v>64613.85</v>
      </c>
      <c r="E96" s="5"/>
      <c r="F96" s="5"/>
      <c r="G96" s="5">
        <f t="shared" si="29"/>
        <v>69923</v>
      </c>
      <c r="H96" s="5"/>
      <c r="I96" s="5">
        <f t="shared" si="30"/>
        <v>-55.474999999999994</v>
      </c>
      <c r="J96" s="5">
        <f t="shared" si="30"/>
        <v>0</v>
      </c>
      <c r="K96" s="5">
        <f t="shared" si="30"/>
        <v>69978.65</v>
      </c>
      <c r="L96" s="5"/>
      <c r="M96" s="5">
        <v>-130.2</v>
      </c>
      <c r="N96" s="5">
        <v>0</v>
      </c>
      <c r="O96" s="5">
        <v>75362.7</v>
      </c>
      <c r="P96" s="5"/>
      <c r="Q96" s="5">
        <v>19.25</v>
      </c>
      <c r="R96" s="5">
        <v>0</v>
      </c>
      <c r="S96" s="5">
        <v>64594.6</v>
      </c>
    </row>
    <row r="97" spans="1:19" ht="12.75">
      <c r="A97" s="16">
        <f t="shared" si="24"/>
        <v>81</v>
      </c>
      <c r="B97" s="3" t="s">
        <v>99</v>
      </c>
      <c r="C97" s="5">
        <f t="shared" si="27"/>
        <v>19867310.66</v>
      </c>
      <c r="D97" s="5">
        <f t="shared" si="28"/>
        <v>16061966.219999999</v>
      </c>
      <c r="E97" s="5"/>
      <c r="F97" s="5"/>
      <c r="G97" s="5">
        <f t="shared" si="29"/>
        <v>17964638</v>
      </c>
      <c r="H97" s="5"/>
      <c r="I97" s="5">
        <f t="shared" si="30"/>
        <v>7578692.865</v>
      </c>
      <c r="J97" s="5">
        <f t="shared" si="30"/>
        <v>1225919.065</v>
      </c>
      <c r="K97" s="5">
        <f t="shared" si="30"/>
        <v>9160026.51</v>
      </c>
      <c r="L97" s="5"/>
      <c r="M97" s="5">
        <v>8394826.22</v>
      </c>
      <c r="N97" s="5">
        <v>1360122.77</v>
      </c>
      <c r="O97" s="5">
        <v>10112361.67</v>
      </c>
      <c r="P97" s="5"/>
      <c r="Q97" s="5">
        <v>6762559.51</v>
      </c>
      <c r="R97" s="5">
        <v>1091715.36</v>
      </c>
      <c r="S97" s="5">
        <v>8207691.35</v>
      </c>
    </row>
    <row r="98" spans="1:19" ht="12.75">
      <c r="A98" s="16">
        <f t="shared" si="24"/>
        <v>82</v>
      </c>
      <c r="B98" s="3" t="s">
        <v>121</v>
      </c>
      <c r="C98" s="5">
        <f t="shared" si="27"/>
        <v>6843661.74</v>
      </c>
      <c r="D98" s="5">
        <f t="shared" si="28"/>
        <v>6744897.6</v>
      </c>
      <c r="E98" s="5"/>
      <c r="F98" s="5"/>
      <c r="G98" s="5">
        <f t="shared" si="29"/>
        <v>6794280</v>
      </c>
      <c r="H98" s="5"/>
      <c r="I98" s="5">
        <f aca="true" t="shared" si="31" ref="I98:K101">(+M98+Q98)/2</f>
        <v>0</v>
      </c>
      <c r="J98" s="5">
        <f t="shared" si="31"/>
        <v>6794279.67</v>
      </c>
      <c r="K98" s="5">
        <f t="shared" si="31"/>
        <v>0</v>
      </c>
      <c r="L98" s="5"/>
      <c r="M98" s="5">
        <v>0</v>
      </c>
      <c r="N98" s="5">
        <v>6843661.74</v>
      </c>
      <c r="O98" s="5">
        <v>0</v>
      </c>
      <c r="P98" s="5"/>
      <c r="Q98" s="5">
        <v>0</v>
      </c>
      <c r="R98" s="5">
        <v>6744897.6</v>
      </c>
      <c r="S98" s="5">
        <v>0</v>
      </c>
    </row>
    <row r="99" spans="1:19" ht="12.75">
      <c r="A99" s="16">
        <f t="shared" si="24"/>
        <v>83</v>
      </c>
      <c r="B99" s="3" t="s">
        <v>111</v>
      </c>
      <c r="C99" s="5">
        <f t="shared" si="27"/>
        <v>250708.18</v>
      </c>
      <c r="D99" s="5">
        <f t="shared" si="28"/>
        <v>5670039.51</v>
      </c>
      <c r="E99" s="5"/>
      <c r="F99" s="5"/>
      <c r="G99" s="5">
        <f t="shared" si="29"/>
        <v>2960374</v>
      </c>
      <c r="H99" s="5"/>
      <c r="I99" s="5">
        <f t="shared" si="31"/>
        <v>2960373.8449999997</v>
      </c>
      <c r="J99" s="5">
        <f t="shared" si="31"/>
        <v>0</v>
      </c>
      <c r="K99" s="5">
        <f t="shared" si="31"/>
        <v>0</v>
      </c>
      <c r="L99" s="5"/>
      <c r="M99" s="5">
        <v>250708.18</v>
      </c>
      <c r="N99" s="5">
        <v>0</v>
      </c>
      <c r="O99" s="5">
        <v>0</v>
      </c>
      <c r="P99" s="5"/>
      <c r="Q99" s="5">
        <v>5670039.51</v>
      </c>
      <c r="R99" s="5">
        <v>0</v>
      </c>
      <c r="S99" s="5">
        <v>0</v>
      </c>
    </row>
    <row r="100" spans="1:19" ht="12.75">
      <c r="A100" s="16">
        <f t="shared" si="24"/>
        <v>84</v>
      </c>
      <c r="B100" s="3" t="s">
        <v>119</v>
      </c>
      <c r="C100" s="5">
        <f t="shared" si="27"/>
        <v>1020128.69</v>
      </c>
      <c r="D100" s="5">
        <f t="shared" si="28"/>
        <v>10004363.02</v>
      </c>
      <c r="E100" s="5"/>
      <c r="F100" s="5"/>
      <c r="G100" s="5">
        <f t="shared" si="29"/>
        <v>5512246</v>
      </c>
      <c r="H100" s="5"/>
      <c r="I100" s="5">
        <f t="shared" si="31"/>
        <v>5512245.8549999995</v>
      </c>
      <c r="J100" s="5">
        <f t="shared" si="31"/>
        <v>0</v>
      </c>
      <c r="K100" s="5">
        <f t="shared" si="31"/>
        <v>0</v>
      </c>
      <c r="L100" s="5"/>
      <c r="M100" s="5">
        <v>1020128.69</v>
      </c>
      <c r="N100" s="5">
        <v>0</v>
      </c>
      <c r="O100" s="5">
        <v>0</v>
      </c>
      <c r="P100" s="5"/>
      <c r="Q100" s="5">
        <v>10004363.02</v>
      </c>
      <c r="R100" s="5">
        <v>0</v>
      </c>
      <c r="S100" s="5">
        <v>0</v>
      </c>
    </row>
    <row r="101" spans="1:19" ht="12.75">
      <c r="A101" s="16">
        <f t="shared" si="24"/>
        <v>85</v>
      </c>
      <c r="B101" s="3" t="s">
        <v>120</v>
      </c>
      <c r="C101" s="5">
        <f t="shared" si="27"/>
        <v>8920699.23</v>
      </c>
      <c r="D101" s="5">
        <f t="shared" si="28"/>
        <v>3304179.49</v>
      </c>
      <c r="E101" s="5"/>
      <c r="F101" s="5"/>
      <c r="G101" s="5">
        <f t="shared" si="29"/>
        <v>6112439</v>
      </c>
      <c r="H101" s="5"/>
      <c r="I101" s="5">
        <f t="shared" si="31"/>
        <v>6112439.36</v>
      </c>
      <c r="J101" s="5">
        <f t="shared" si="31"/>
        <v>0</v>
      </c>
      <c r="K101" s="5">
        <f t="shared" si="31"/>
        <v>0</v>
      </c>
      <c r="L101" s="5"/>
      <c r="M101" s="5">
        <v>8920699.23</v>
      </c>
      <c r="N101" s="5">
        <v>0</v>
      </c>
      <c r="O101" s="5">
        <v>0</v>
      </c>
      <c r="P101" s="5"/>
      <c r="Q101" s="5">
        <v>3304179.49</v>
      </c>
      <c r="R101" s="5">
        <v>0</v>
      </c>
      <c r="S101" s="5">
        <v>0</v>
      </c>
    </row>
    <row r="102" spans="1:19" ht="12.75">
      <c r="A102" s="16">
        <f t="shared" si="24"/>
        <v>86</v>
      </c>
      <c r="B102" s="3" t="s">
        <v>83</v>
      </c>
      <c r="C102" s="5">
        <f aca="true" t="shared" si="32" ref="C102:C114">SUM(M102:O102)</f>
        <v>274.15</v>
      </c>
      <c r="D102" s="5">
        <f aca="true" t="shared" si="33" ref="D102:D114">SUM(Q102:S102)</f>
        <v>274.15</v>
      </c>
      <c r="E102" s="5"/>
      <c r="F102" s="5"/>
      <c r="G102" s="5">
        <f aca="true" t="shared" si="34" ref="G102:G121">ROUND(SUM(C102:F102)/2,0)</f>
        <v>274</v>
      </c>
      <c r="H102" s="5"/>
      <c r="I102" s="5">
        <f aca="true" t="shared" si="35" ref="I102:I115">(+M102+Q102)/2</f>
        <v>274.15</v>
      </c>
      <c r="J102" s="5">
        <f aca="true" t="shared" si="36" ref="J102:J115">(+N102+R102)/2</f>
        <v>0</v>
      </c>
      <c r="K102" s="5">
        <f aca="true" t="shared" si="37" ref="K102:K115">(+O102+S102)/2</f>
        <v>0</v>
      </c>
      <c r="L102" s="5"/>
      <c r="M102" s="5">
        <v>274.15</v>
      </c>
      <c r="N102" s="5">
        <v>0</v>
      </c>
      <c r="O102" s="5">
        <v>0</v>
      </c>
      <c r="P102" s="5"/>
      <c r="Q102" s="5">
        <v>274.15</v>
      </c>
      <c r="R102" s="5">
        <v>0</v>
      </c>
      <c r="S102" s="5">
        <v>0</v>
      </c>
    </row>
    <row r="103" spans="1:19" ht="12.75">
      <c r="A103" s="16">
        <f t="shared" si="24"/>
        <v>87</v>
      </c>
      <c r="B103" s="3" t="s">
        <v>130</v>
      </c>
      <c r="C103" s="5">
        <f aca="true" t="shared" si="38" ref="C103:C109">SUM(M103:O103)</f>
        <v>4387830.3100000005</v>
      </c>
      <c r="D103" s="5">
        <f aca="true" t="shared" si="39" ref="D103:D109">SUM(Q103:S103)</f>
        <v>0</v>
      </c>
      <c r="E103" s="5"/>
      <c r="F103" s="5"/>
      <c r="G103" s="5">
        <f t="shared" si="34"/>
        <v>2193915</v>
      </c>
      <c r="H103" s="5"/>
      <c r="I103" s="5">
        <f t="shared" si="35"/>
        <v>1215722.495</v>
      </c>
      <c r="J103" s="5">
        <f t="shared" si="36"/>
        <v>153617.5</v>
      </c>
      <c r="K103" s="5">
        <f t="shared" si="37"/>
        <v>824575.16</v>
      </c>
      <c r="L103" s="5"/>
      <c r="M103" s="5">
        <v>2431444.99</v>
      </c>
      <c r="N103" s="5">
        <v>307235</v>
      </c>
      <c r="O103" s="5">
        <v>1649150.32</v>
      </c>
      <c r="P103" s="5"/>
      <c r="Q103" s="5">
        <v>0</v>
      </c>
      <c r="R103" s="5">
        <v>0</v>
      </c>
      <c r="S103" s="5">
        <v>0</v>
      </c>
    </row>
    <row r="104" spans="1:19" ht="12.75">
      <c r="A104" s="16">
        <f t="shared" si="24"/>
        <v>88</v>
      </c>
      <c r="B104" s="3" t="s">
        <v>133</v>
      </c>
      <c r="C104" s="5">
        <f t="shared" si="38"/>
        <v>673751.4</v>
      </c>
      <c r="D104" s="5">
        <f t="shared" si="39"/>
        <v>0</v>
      </c>
      <c r="E104" s="5"/>
      <c r="F104" s="5"/>
      <c r="G104" s="5">
        <f t="shared" si="34"/>
        <v>336876</v>
      </c>
      <c r="H104" s="5"/>
      <c r="I104" s="5">
        <f t="shared" si="35"/>
        <v>336875.7</v>
      </c>
      <c r="J104" s="5">
        <f t="shared" si="36"/>
        <v>0</v>
      </c>
      <c r="K104" s="5">
        <f t="shared" si="37"/>
        <v>0</v>
      </c>
      <c r="L104" s="5"/>
      <c r="M104" s="5">
        <v>673751.4</v>
      </c>
      <c r="N104" s="5">
        <v>0</v>
      </c>
      <c r="O104" s="5">
        <v>0</v>
      </c>
      <c r="P104" s="5"/>
      <c r="Q104" s="5">
        <v>0</v>
      </c>
      <c r="R104" s="5">
        <v>0</v>
      </c>
      <c r="S104" s="5">
        <v>0</v>
      </c>
    </row>
    <row r="105" spans="1:19" ht="12.75">
      <c r="A105" s="16">
        <f t="shared" si="24"/>
        <v>89</v>
      </c>
      <c r="B105" s="3" t="s">
        <v>134</v>
      </c>
      <c r="C105" s="5">
        <f t="shared" si="38"/>
        <v>2781300.97</v>
      </c>
      <c r="D105" s="5">
        <f t="shared" si="39"/>
        <v>0</v>
      </c>
      <c r="E105" s="5"/>
      <c r="F105" s="5"/>
      <c r="G105" s="5">
        <f t="shared" si="34"/>
        <v>1390650</v>
      </c>
      <c r="H105" s="5"/>
      <c r="I105" s="5">
        <f t="shared" si="35"/>
        <v>1390650.485</v>
      </c>
      <c r="J105" s="5">
        <f t="shared" si="36"/>
        <v>0</v>
      </c>
      <c r="K105" s="5">
        <f t="shared" si="37"/>
        <v>0</v>
      </c>
      <c r="L105" s="5"/>
      <c r="M105" s="5">
        <v>2781300.97</v>
      </c>
      <c r="N105" s="5">
        <v>0</v>
      </c>
      <c r="O105" s="5">
        <v>0</v>
      </c>
      <c r="P105" s="5"/>
      <c r="Q105" s="5">
        <v>0</v>
      </c>
      <c r="R105" s="5">
        <v>0</v>
      </c>
      <c r="S105" s="5">
        <v>0</v>
      </c>
    </row>
    <row r="106" spans="1:19" ht="12.75">
      <c r="A106" s="16">
        <f t="shared" si="24"/>
        <v>90</v>
      </c>
      <c r="B106" s="3" t="s">
        <v>135</v>
      </c>
      <c r="C106" s="5">
        <f t="shared" si="38"/>
        <v>467203.24</v>
      </c>
      <c r="D106" s="5">
        <f t="shared" si="39"/>
        <v>0</v>
      </c>
      <c r="E106" s="5"/>
      <c r="F106" s="5"/>
      <c r="G106" s="5">
        <f t="shared" si="34"/>
        <v>233602</v>
      </c>
      <c r="H106" s="5"/>
      <c r="I106" s="5">
        <f t="shared" si="35"/>
        <v>233601.62</v>
      </c>
      <c r="J106" s="5">
        <f t="shared" si="36"/>
        <v>0</v>
      </c>
      <c r="K106" s="5">
        <f t="shared" si="37"/>
        <v>0</v>
      </c>
      <c r="L106" s="5"/>
      <c r="M106" s="5">
        <v>467203.24</v>
      </c>
      <c r="N106" s="5">
        <v>0</v>
      </c>
      <c r="O106" s="5">
        <v>0</v>
      </c>
      <c r="P106" s="5"/>
      <c r="Q106" s="5">
        <v>0</v>
      </c>
      <c r="R106" s="5">
        <v>0</v>
      </c>
      <c r="S106" s="5">
        <v>0</v>
      </c>
    </row>
    <row r="107" spans="1:19" ht="12.75">
      <c r="A107" s="16">
        <f t="shared" si="24"/>
        <v>91</v>
      </c>
      <c r="B107" s="3" t="s">
        <v>136</v>
      </c>
      <c r="C107" s="5">
        <f t="shared" si="38"/>
        <v>2199467.9</v>
      </c>
      <c r="D107" s="5">
        <f t="shared" si="39"/>
        <v>0</v>
      </c>
      <c r="E107" s="5"/>
      <c r="F107" s="5"/>
      <c r="G107" s="5">
        <f t="shared" si="34"/>
        <v>1099734</v>
      </c>
      <c r="H107" s="5"/>
      <c r="I107" s="5">
        <f t="shared" si="35"/>
        <v>1099733.95</v>
      </c>
      <c r="J107" s="5">
        <f t="shared" si="36"/>
        <v>0</v>
      </c>
      <c r="K107" s="5">
        <f t="shared" si="37"/>
        <v>0</v>
      </c>
      <c r="L107" s="5"/>
      <c r="M107" s="5">
        <v>2199467.9</v>
      </c>
      <c r="N107" s="5">
        <v>0</v>
      </c>
      <c r="O107" s="5">
        <v>0</v>
      </c>
      <c r="P107" s="5"/>
      <c r="Q107" s="5">
        <v>0</v>
      </c>
      <c r="R107" s="5">
        <v>0</v>
      </c>
      <c r="S107" s="5">
        <v>0</v>
      </c>
    </row>
    <row r="108" spans="1:19" ht="12.75">
      <c r="A108" s="16">
        <f t="shared" si="24"/>
        <v>92</v>
      </c>
      <c r="B108" s="3" t="s">
        <v>137</v>
      </c>
      <c r="C108" s="5">
        <f t="shared" si="38"/>
        <v>9565934.74</v>
      </c>
      <c r="D108" s="5">
        <f t="shared" si="39"/>
        <v>0</v>
      </c>
      <c r="E108" s="5"/>
      <c r="F108" s="5"/>
      <c r="G108" s="5">
        <f t="shared" si="34"/>
        <v>4782967</v>
      </c>
      <c r="H108" s="5"/>
      <c r="I108" s="5">
        <f t="shared" si="35"/>
        <v>4782967.37</v>
      </c>
      <c r="J108" s="5">
        <f t="shared" si="36"/>
        <v>0</v>
      </c>
      <c r="K108" s="5">
        <f t="shared" si="37"/>
        <v>0</v>
      </c>
      <c r="L108" s="5"/>
      <c r="M108" s="5">
        <v>9565934.74</v>
      </c>
      <c r="N108" s="5">
        <v>0</v>
      </c>
      <c r="O108" s="5">
        <v>0</v>
      </c>
      <c r="P108" s="5"/>
      <c r="Q108" s="5">
        <v>0</v>
      </c>
      <c r="R108" s="5">
        <v>0</v>
      </c>
      <c r="S108" s="5">
        <v>0</v>
      </c>
    </row>
    <row r="109" spans="1:19" ht="12.75">
      <c r="A109" s="16">
        <f t="shared" si="24"/>
        <v>93</v>
      </c>
      <c r="B109" s="3" t="s">
        <v>131</v>
      </c>
      <c r="C109" s="5">
        <f t="shared" si="38"/>
        <v>323228.85</v>
      </c>
      <c r="D109" s="5">
        <f t="shared" si="39"/>
        <v>0</v>
      </c>
      <c r="E109" s="5"/>
      <c r="F109" s="5"/>
      <c r="G109" s="5">
        <f t="shared" si="34"/>
        <v>161614</v>
      </c>
      <c r="H109" s="5"/>
      <c r="I109" s="5">
        <f t="shared" si="35"/>
        <v>61413.45</v>
      </c>
      <c r="J109" s="5">
        <f t="shared" si="36"/>
        <v>0</v>
      </c>
      <c r="K109" s="5">
        <f t="shared" si="37"/>
        <v>100200.975</v>
      </c>
      <c r="L109" s="5"/>
      <c r="M109" s="5">
        <v>122826.9</v>
      </c>
      <c r="N109" s="5">
        <v>0</v>
      </c>
      <c r="O109" s="5">
        <v>200401.95</v>
      </c>
      <c r="P109" s="5"/>
      <c r="Q109" s="5">
        <v>0</v>
      </c>
      <c r="R109" s="5">
        <v>0</v>
      </c>
      <c r="S109" s="5">
        <v>0</v>
      </c>
    </row>
    <row r="110" spans="1:19" ht="12.75">
      <c r="A110" s="16">
        <f t="shared" si="24"/>
        <v>94</v>
      </c>
      <c r="B110" s="3" t="s">
        <v>100</v>
      </c>
      <c r="C110" s="5">
        <f t="shared" si="32"/>
        <v>3249164.8000000003</v>
      </c>
      <c r="D110" s="5">
        <f t="shared" si="33"/>
        <v>2710111.6</v>
      </c>
      <c r="E110" s="5"/>
      <c r="F110" s="5"/>
      <c r="G110" s="5">
        <f t="shared" si="34"/>
        <v>2979638</v>
      </c>
      <c r="H110" s="5"/>
      <c r="I110" s="5">
        <f t="shared" si="35"/>
        <v>2390900.575</v>
      </c>
      <c r="J110" s="5">
        <f t="shared" si="36"/>
        <v>82457.725</v>
      </c>
      <c r="K110" s="5">
        <f t="shared" si="37"/>
        <v>506279.9</v>
      </c>
      <c r="L110" s="5"/>
      <c r="M110" s="5">
        <v>2699691.4</v>
      </c>
      <c r="N110" s="5">
        <v>82212.2</v>
      </c>
      <c r="O110" s="5">
        <v>467261.2</v>
      </c>
      <c r="P110" s="5"/>
      <c r="Q110" s="5">
        <v>2082109.75</v>
      </c>
      <c r="R110" s="5">
        <v>82703.25</v>
      </c>
      <c r="S110" s="5">
        <v>545298.6</v>
      </c>
    </row>
    <row r="111" spans="1:19" ht="12.75">
      <c r="A111" s="16">
        <f t="shared" si="24"/>
        <v>95</v>
      </c>
      <c r="B111" s="3" t="s">
        <v>84</v>
      </c>
      <c r="C111" s="5">
        <f t="shared" si="32"/>
        <v>9218899.45</v>
      </c>
      <c r="D111" s="5">
        <f t="shared" si="33"/>
        <v>9215703.6</v>
      </c>
      <c r="E111" s="5"/>
      <c r="F111" s="5"/>
      <c r="G111" s="5">
        <f t="shared" si="34"/>
        <v>9217302</v>
      </c>
      <c r="H111" s="5"/>
      <c r="I111" s="5">
        <f t="shared" si="35"/>
        <v>4643194.12</v>
      </c>
      <c r="J111" s="5">
        <f t="shared" si="36"/>
        <v>1222817.73</v>
      </c>
      <c r="K111" s="5">
        <f t="shared" si="37"/>
        <v>3351289.675</v>
      </c>
      <c r="L111" s="5"/>
      <c r="M111" s="5">
        <v>4375962.12</v>
      </c>
      <c r="N111" s="5">
        <v>1374943.13</v>
      </c>
      <c r="O111" s="5">
        <v>3467994.2</v>
      </c>
      <c r="P111" s="5"/>
      <c r="Q111" s="5">
        <v>4910426.12</v>
      </c>
      <c r="R111" s="5">
        <v>1070692.33</v>
      </c>
      <c r="S111" s="5">
        <v>3234585.15</v>
      </c>
    </row>
    <row r="112" spans="1:19" ht="12.75">
      <c r="A112" s="16">
        <f t="shared" si="24"/>
        <v>96</v>
      </c>
      <c r="B112" s="3" t="s">
        <v>43</v>
      </c>
      <c r="C112" s="5">
        <f t="shared" si="32"/>
        <v>4757345.38</v>
      </c>
      <c r="D112" s="5">
        <f t="shared" si="33"/>
        <v>4437735.17</v>
      </c>
      <c r="E112" s="5"/>
      <c r="F112" s="5"/>
      <c r="G112" s="5">
        <f t="shared" si="34"/>
        <v>4597540</v>
      </c>
      <c r="H112" s="5"/>
      <c r="I112" s="5">
        <f t="shared" si="35"/>
        <v>2189734.35</v>
      </c>
      <c r="J112" s="5">
        <f t="shared" si="36"/>
        <v>817817.7</v>
      </c>
      <c r="K112" s="5">
        <f t="shared" si="37"/>
        <v>1589988.225</v>
      </c>
      <c r="L112" s="5"/>
      <c r="M112" s="5">
        <v>2446354.18</v>
      </c>
      <c r="N112" s="5">
        <v>784842.45</v>
      </c>
      <c r="O112" s="5">
        <v>1526148.75</v>
      </c>
      <c r="P112" s="5"/>
      <c r="Q112" s="5">
        <v>1933114.52</v>
      </c>
      <c r="R112" s="5">
        <v>850792.95</v>
      </c>
      <c r="S112" s="5">
        <v>1653827.7</v>
      </c>
    </row>
    <row r="113" spans="1:19" ht="12.75">
      <c r="A113" s="16">
        <f t="shared" si="24"/>
        <v>97</v>
      </c>
      <c r="B113" s="3" t="s">
        <v>44</v>
      </c>
      <c r="C113" s="5">
        <f t="shared" si="32"/>
        <v>5280.8</v>
      </c>
      <c r="D113" s="5">
        <f t="shared" si="33"/>
        <v>9241.4</v>
      </c>
      <c r="E113" s="5"/>
      <c r="F113" s="5"/>
      <c r="G113" s="5">
        <f t="shared" si="34"/>
        <v>7261</v>
      </c>
      <c r="H113" s="5"/>
      <c r="I113" s="5">
        <f t="shared" si="35"/>
        <v>0</v>
      </c>
      <c r="J113" s="5">
        <f t="shared" si="36"/>
        <v>1013.9499999999999</v>
      </c>
      <c r="K113" s="5">
        <f t="shared" si="37"/>
        <v>6247.15</v>
      </c>
      <c r="L113" s="5"/>
      <c r="M113" s="5">
        <v>0</v>
      </c>
      <c r="N113" s="5">
        <v>732.55</v>
      </c>
      <c r="O113" s="5">
        <v>4548.25</v>
      </c>
      <c r="P113" s="5"/>
      <c r="Q113" s="5">
        <v>0</v>
      </c>
      <c r="R113" s="5">
        <v>1295.35</v>
      </c>
      <c r="S113" s="5">
        <v>7946.05</v>
      </c>
    </row>
    <row r="114" spans="1:19" ht="12.75">
      <c r="A114" s="16">
        <f t="shared" si="24"/>
        <v>98</v>
      </c>
      <c r="B114" s="3" t="s">
        <v>45</v>
      </c>
      <c r="C114" s="5">
        <f t="shared" si="32"/>
        <v>7925607.6899999995</v>
      </c>
      <c r="D114" s="5">
        <f t="shared" si="33"/>
        <v>8919383.58</v>
      </c>
      <c r="E114" s="5"/>
      <c r="F114" s="5"/>
      <c r="G114" s="5">
        <f t="shared" si="34"/>
        <v>8422496</v>
      </c>
      <c r="H114" s="5"/>
      <c r="I114" s="5">
        <f t="shared" si="35"/>
        <v>3836628.77</v>
      </c>
      <c r="J114" s="5">
        <f t="shared" si="36"/>
        <v>862864.105</v>
      </c>
      <c r="K114" s="5">
        <f t="shared" si="37"/>
        <v>3723002.76</v>
      </c>
      <c r="L114" s="5"/>
      <c r="M114" s="5">
        <v>3664176.17</v>
      </c>
      <c r="N114" s="5">
        <v>792533.13</v>
      </c>
      <c r="O114" s="5">
        <v>3468898.39</v>
      </c>
      <c r="P114" s="5"/>
      <c r="Q114" s="5">
        <v>4009081.37</v>
      </c>
      <c r="R114" s="5">
        <v>933195.08</v>
      </c>
      <c r="S114" s="5">
        <v>3977107.13</v>
      </c>
    </row>
    <row r="115" spans="1:19" ht="12.75">
      <c r="A115" s="16">
        <f t="shared" si="24"/>
        <v>99</v>
      </c>
      <c r="B115" s="3" t="s">
        <v>138</v>
      </c>
      <c r="C115" s="5">
        <f>SUM(M115:O115)</f>
        <v>20817600.65</v>
      </c>
      <c r="D115" s="5">
        <f>SUM(Q115:S115)</f>
        <v>0</v>
      </c>
      <c r="E115" s="5"/>
      <c r="F115" s="5"/>
      <c r="G115" s="5">
        <f t="shared" si="34"/>
        <v>10408800</v>
      </c>
      <c r="H115" s="5"/>
      <c r="I115" s="5">
        <f t="shared" si="35"/>
        <v>10408800.325</v>
      </c>
      <c r="J115" s="5">
        <f t="shared" si="36"/>
        <v>0</v>
      </c>
      <c r="K115" s="5">
        <f t="shared" si="37"/>
        <v>0</v>
      </c>
      <c r="L115" s="5"/>
      <c r="M115" s="5">
        <v>20817600.65</v>
      </c>
      <c r="N115" s="5">
        <v>0</v>
      </c>
      <c r="O115" s="5">
        <v>0</v>
      </c>
      <c r="P115" s="5"/>
      <c r="Q115" s="5">
        <v>0</v>
      </c>
      <c r="R115" s="5">
        <v>0</v>
      </c>
      <c r="S115" s="5">
        <v>0</v>
      </c>
    </row>
    <row r="116" spans="1:19" ht="12.75">
      <c r="A116" s="16">
        <f t="shared" si="24"/>
        <v>100</v>
      </c>
      <c r="B116" s="1" t="s">
        <v>25</v>
      </c>
      <c r="C116" s="5">
        <v>-3296423.6</v>
      </c>
      <c r="D116" s="5">
        <f>249096.9-3851324.61-279364.25</f>
        <v>-3881591.96</v>
      </c>
      <c r="E116" s="5">
        <f aca="true" t="shared" si="40" ref="E116:F121">-C116</f>
        <v>3296423.6</v>
      </c>
      <c r="F116" s="5">
        <f t="shared" si="40"/>
        <v>3881591.96</v>
      </c>
      <c r="G116" s="5">
        <f t="shared" si="34"/>
        <v>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2.75">
      <c r="A117" s="16">
        <f t="shared" si="24"/>
        <v>101</v>
      </c>
      <c r="B117" s="1" t="s">
        <v>46</v>
      </c>
      <c r="C117" s="5">
        <v>184636493.26</v>
      </c>
      <c r="D117" s="5">
        <v>187610988.42</v>
      </c>
      <c r="E117" s="5">
        <f t="shared" si="40"/>
        <v>-184636493.26</v>
      </c>
      <c r="F117" s="5">
        <f t="shared" si="40"/>
        <v>-187610988.42</v>
      </c>
      <c r="G117" s="5">
        <f t="shared" si="34"/>
        <v>0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2.75">
      <c r="A118" s="16">
        <f t="shared" si="24"/>
        <v>102</v>
      </c>
      <c r="B118" s="1" t="s">
        <v>47</v>
      </c>
      <c r="C118" s="5">
        <v>0</v>
      </c>
      <c r="D118" s="5">
        <v>0</v>
      </c>
      <c r="E118" s="5">
        <f t="shared" si="40"/>
        <v>0</v>
      </c>
      <c r="F118" s="5">
        <f t="shared" si="40"/>
        <v>0</v>
      </c>
      <c r="G118" s="5">
        <f t="shared" si="34"/>
        <v>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2.75">
      <c r="A119" s="16">
        <f t="shared" si="24"/>
        <v>103</v>
      </c>
      <c r="B119" s="6" t="s">
        <v>103</v>
      </c>
      <c r="C119" s="5">
        <v>5620654</v>
      </c>
      <c r="D119" s="5">
        <v>6305992.92</v>
      </c>
      <c r="E119" s="5">
        <f>-C119</f>
        <v>-5620654</v>
      </c>
      <c r="F119" s="5">
        <f>-D119</f>
        <v>-6305992.92</v>
      </c>
      <c r="G119" s="5">
        <f t="shared" si="34"/>
        <v>0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2.75">
      <c r="A120" s="16">
        <f t="shared" si="24"/>
        <v>104</v>
      </c>
      <c r="B120" s="6" t="s">
        <v>104</v>
      </c>
      <c r="C120" s="5">
        <v>57113</v>
      </c>
      <c r="D120" s="5">
        <v>61399.74</v>
      </c>
      <c r="E120" s="5">
        <f>-C120</f>
        <v>-57113</v>
      </c>
      <c r="F120" s="5">
        <f>-D120</f>
        <v>-61399.74</v>
      </c>
      <c r="G120" s="5">
        <f t="shared" si="34"/>
        <v>0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2.75">
      <c r="A121" s="16">
        <f t="shared" si="24"/>
        <v>105</v>
      </c>
      <c r="B121" s="1" t="s">
        <v>48</v>
      </c>
      <c r="C121" s="5">
        <v>150925</v>
      </c>
      <c r="D121" s="5">
        <v>117386.21</v>
      </c>
      <c r="E121" s="5">
        <f t="shared" si="40"/>
        <v>-150925</v>
      </c>
      <c r="F121" s="5">
        <f t="shared" si="40"/>
        <v>-117386.21</v>
      </c>
      <c r="G121" s="5">
        <f t="shared" si="34"/>
        <v>0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2.75">
      <c r="A122" s="16">
        <f t="shared" si="24"/>
        <v>106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3.5" thickBot="1">
      <c r="A123" s="16">
        <f t="shared" si="24"/>
        <v>107</v>
      </c>
      <c r="B123" s="1"/>
      <c r="C123" s="17">
        <f aca="true" t="shared" si="41" ref="C123:O123">SUM(C73:C122)</f>
        <v>561349654.16</v>
      </c>
      <c r="D123" s="17">
        <f t="shared" si="41"/>
        <v>506219902.048</v>
      </c>
      <c r="E123" s="17">
        <f t="shared" si="41"/>
        <v>-187168761.66</v>
      </c>
      <c r="F123" s="17">
        <f t="shared" si="41"/>
        <v>-190214175.32999998</v>
      </c>
      <c r="G123" s="17">
        <f t="shared" si="41"/>
        <v>345093307</v>
      </c>
      <c r="H123" s="17"/>
      <c r="I123" s="17">
        <f>SUM(I73:I122)</f>
        <v>263874311.314</v>
      </c>
      <c r="J123" s="17">
        <f>SUM(J73:J122)</f>
        <v>16461350.784999998</v>
      </c>
      <c r="K123" s="17">
        <f>SUM(K73:K122)</f>
        <v>64757647.50999998</v>
      </c>
      <c r="L123" s="17"/>
      <c r="M123" s="17">
        <f t="shared" si="41"/>
        <v>285305416</v>
      </c>
      <c r="N123" s="17">
        <f t="shared" si="41"/>
        <v>17271195.36</v>
      </c>
      <c r="O123" s="17">
        <f t="shared" si="41"/>
        <v>71604281.14</v>
      </c>
      <c r="P123" s="5"/>
      <c r="Q123" s="17">
        <f>SUM(Q73:Q122)</f>
        <v>242443206.62800005</v>
      </c>
      <c r="R123" s="17">
        <f>SUM(R73:R122)</f>
        <v>15651506.209999999</v>
      </c>
      <c r="S123" s="17">
        <f>SUM(S73:S122)</f>
        <v>57911013.88</v>
      </c>
    </row>
    <row r="124" spans="1:19" ht="13.5" thickTop="1">
      <c r="A124" s="16">
        <f t="shared" si="24"/>
        <v>108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5"/>
      <c r="Q124" s="18"/>
      <c r="R124" s="18"/>
      <c r="S124" s="18"/>
    </row>
    <row r="125" spans="1:19" ht="12.75">
      <c r="A125" s="16">
        <f t="shared" si="24"/>
        <v>109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2.75">
      <c r="A126" s="16">
        <f t="shared" si="24"/>
        <v>110</v>
      </c>
      <c r="B126" s="3" t="s">
        <v>105</v>
      </c>
      <c r="C126" s="5">
        <f>SUM(M126:O126)</f>
        <v>59488247</v>
      </c>
      <c r="D126" s="5">
        <f>SUM(Q126:S126)</f>
        <v>48943087</v>
      </c>
      <c r="E126" s="5"/>
      <c r="F126" s="5"/>
      <c r="G126" s="5">
        <f>ROUND(SUM(C126:F126)/2,0)</f>
        <v>54215667</v>
      </c>
      <c r="H126" s="5"/>
      <c r="I126" s="5">
        <f>(+M126+Q126)/2</f>
        <v>32556459</v>
      </c>
      <c r="J126" s="5">
        <f>(+N126+R126)/2</f>
        <v>9327000</v>
      </c>
      <c r="K126" s="5">
        <f>(+O126+S126)/2</f>
        <v>12332208</v>
      </c>
      <c r="L126" s="5"/>
      <c r="M126" s="5">
        <f>40849947+24007703-27415819</f>
        <v>37441831</v>
      </c>
      <c r="N126" s="5">
        <f>15224949-5897949</f>
        <v>9327000</v>
      </c>
      <c r="O126" s="5">
        <f>21824521-9105105</f>
        <v>12719416</v>
      </c>
      <c r="P126" s="5"/>
      <c r="Q126" s="5">
        <f>35791389+14236959-22357261</f>
        <v>27671087</v>
      </c>
      <c r="R126" s="5">
        <f>13349509-4022509</f>
        <v>9327000</v>
      </c>
      <c r="S126" s="5">
        <f>18805277-6860277</f>
        <v>11945000</v>
      </c>
    </row>
    <row r="127" spans="1:19" ht="12.75">
      <c r="A127" s="16">
        <f t="shared" si="24"/>
        <v>111</v>
      </c>
      <c r="B127" s="1" t="s">
        <v>50</v>
      </c>
      <c r="C127" s="5">
        <v>237853069</v>
      </c>
      <c r="D127" s="5">
        <v>223022539</v>
      </c>
      <c r="E127" s="5">
        <f>-C127</f>
        <v>-237853069</v>
      </c>
      <c r="F127" s="5">
        <f>-D127</f>
        <v>-223022539</v>
      </c>
      <c r="G127" s="5">
        <f>ROUND(SUM(C127:F127)/2,0)</f>
        <v>0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2.75">
      <c r="A128" s="16">
        <f t="shared" si="24"/>
        <v>112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3.5" thickBot="1">
      <c r="A129" s="16">
        <f t="shared" si="24"/>
        <v>113</v>
      </c>
      <c r="B129" s="1" t="s">
        <v>49</v>
      </c>
      <c r="C129" s="17">
        <f>SUM(C123:C128)</f>
        <v>858690970.16</v>
      </c>
      <c r="D129" s="17">
        <f>SUM(D123:D128)</f>
        <v>778185528.048</v>
      </c>
      <c r="E129" s="17">
        <f>SUM(E123:E128)</f>
        <v>-425021830.65999997</v>
      </c>
      <c r="F129" s="17">
        <f>SUM(F123:F128)</f>
        <v>-413236714.33</v>
      </c>
      <c r="G129" s="17">
        <f>SUM(G123:G128)</f>
        <v>399308974</v>
      </c>
      <c r="H129" s="17"/>
      <c r="I129" s="17">
        <f>SUM(I123:I128)</f>
        <v>296430770.314</v>
      </c>
      <c r="J129" s="17">
        <f>SUM(J123:J128)</f>
        <v>25788350.784999996</v>
      </c>
      <c r="K129" s="17">
        <f>SUM(K123:K128)</f>
        <v>77089855.50999999</v>
      </c>
      <c r="L129" s="17"/>
      <c r="M129" s="17">
        <f>SUM(M123:M128)</f>
        <v>322747247</v>
      </c>
      <c r="N129" s="17">
        <f>SUM(N123:N128)</f>
        <v>26598195.36</v>
      </c>
      <c r="O129" s="17">
        <f>SUM(O123:O128)</f>
        <v>84323697.14</v>
      </c>
      <c r="P129" s="5"/>
      <c r="Q129" s="17">
        <f>SUM(Q123:Q128)</f>
        <v>270114293.628</v>
      </c>
      <c r="R129" s="17">
        <f>SUM(R123:R128)</f>
        <v>24978506.21</v>
      </c>
      <c r="S129" s="17">
        <f>SUM(S123:S128)</f>
        <v>69856013.88</v>
      </c>
    </row>
    <row r="130" spans="1:19" ht="13.5" thickTop="1">
      <c r="A130" s="16">
        <f t="shared" si="24"/>
        <v>114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5"/>
      <c r="Q130" s="18"/>
      <c r="R130" s="18"/>
      <c r="S130" s="18"/>
    </row>
    <row r="131" spans="1:19" ht="12.75">
      <c r="A131" s="16">
        <f t="shared" si="24"/>
        <v>115</v>
      </c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2.75">
      <c r="A132" s="16">
        <f t="shared" si="24"/>
        <v>116</v>
      </c>
      <c r="B132" s="1" t="s">
        <v>51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2.75">
      <c r="A133" s="16">
        <f t="shared" si="24"/>
        <v>117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2.75">
      <c r="A134" s="16">
        <f t="shared" si="24"/>
        <v>118</v>
      </c>
      <c r="B134" s="1" t="s">
        <v>52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2.75">
      <c r="A135" s="16">
        <f t="shared" si="24"/>
        <v>119</v>
      </c>
      <c r="C135" s="5"/>
      <c r="D135" s="19"/>
      <c r="E135" s="19"/>
      <c r="F135" s="19"/>
      <c r="G135" s="19"/>
      <c r="H135" s="19"/>
      <c r="I135" s="19"/>
      <c r="J135" s="19"/>
      <c r="K135" s="19"/>
      <c r="L135" s="19"/>
      <c r="M135" s="5"/>
      <c r="N135" s="5"/>
      <c r="O135" s="5"/>
      <c r="P135" s="5"/>
      <c r="Q135" s="5"/>
      <c r="R135" s="5"/>
      <c r="S135" s="5"/>
    </row>
    <row r="136" spans="1:19" ht="12.75">
      <c r="A136" s="16">
        <f t="shared" si="24"/>
        <v>120</v>
      </c>
      <c r="B136" s="1" t="s">
        <v>53</v>
      </c>
      <c r="C136" s="5"/>
      <c r="D136" s="19"/>
      <c r="E136" s="19"/>
      <c r="F136" s="19"/>
      <c r="G136" s="19"/>
      <c r="H136" s="19"/>
      <c r="I136" s="19"/>
      <c r="J136" s="19"/>
      <c r="K136" s="19"/>
      <c r="L136" s="19"/>
      <c r="M136" s="5"/>
      <c r="N136" s="5"/>
      <c r="O136" s="5"/>
      <c r="P136" s="5"/>
      <c r="Q136" s="5"/>
      <c r="R136" s="5"/>
      <c r="S136" s="5"/>
    </row>
    <row r="137" spans="1:19" ht="12.75">
      <c r="A137" s="16">
        <f t="shared" si="24"/>
        <v>121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2.75">
      <c r="A138" s="16">
        <f t="shared" si="24"/>
        <v>122</v>
      </c>
      <c r="B138" s="3" t="s">
        <v>54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2.75">
      <c r="A139" s="16">
        <f t="shared" si="24"/>
        <v>123</v>
      </c>
      <c r="B139" s="3" t="s">
        <v>55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2.75">
      <c r="A140" s="16">
        <f t="shared" si="24"/>
        <v>124</v>
      </c>
      <c r="B140" s="3" t="s">
        <v>86</v>
      </c>
      <c r="C140" s="5">
        <f>SUM(M140:O140)</f>
        <v>3230614</v>
      </c>
      <c r="D140" s="5">
        <f>SUM(Q140:S140)</f>
        <v>5096698</v>
      </c>
      <c r="E140" s="5"/>
      <c r="F140" s="5"/>
      <c r="G140" s="5">
        <f>ROUND(SUM(C140:F140)/2,0)</f>
        <v>4163656</v>
      </c>
      <c r="H140" s="5"/>
      <c r="I140" s="5">
        <f aca="true" t="shared" si="42" ref="I140:K141">(+M140+Q140)/2</f>
        <v>1857904</v>
      </c>
      <c r="J140" s="5">
        <f t="shared" si="42"/>
        <v>1181675.5</v>
      </c>
      <c r="K140" s="5">
        <f t="shared" si="42"/>
        <v>1124076.5</v>
      </c>
      <c r="L140" s="5"/>
      <c r="M140" s="5">
        <f>1451542</f>
        <v>1451542</v>
      </c>
      <c r="N140" s="5">
        <v>915869</v>
      </c>
      <c r="O140" s="5">
        <v>863203</v>
      </c>
      <c r="P140" s="5"/>
      <c r="Q140" s="5">
        <v>2264266</v>
      </c>
      <c r="R140" s="5">
        <v>1447482</v>
      </c>
      <c r="S140" s="5">
        <v>1384950</v>
      </c>
    </row>
    <row r="141" spans="1:19" ht="12.75">
      <c r="A141" s="16">
        <f t="shared" si="24"/>
        <v>125</v>
      </c>
      <c r="B141" s="3" t="s">
        <v>139</v>
      </c>
      <c r="C141" s="5">
        <f>SUM(M141:O141)</f>
        <v>435000</v>
      </c>
      <c r="D141" s="5">
        <f>SUM(Q141:S141)</f>
        <v>0</v>
      </c>
      <c r="E141" s="5"/>
      <c r="F141" s="5"/>
      <c r="G141" s="5">
        <f>ROUND(SUM(C141:F141)/2,0)</f>
        <v>217500</v>
      </c>
      <c r="H141" s="5"/>
      <c r="I141" s="5">
        <f t="shared" si="42"/>
        <v>217500</v>
      </c>
      <c r="J141" s="5">
        <f t="shared" si="42"/>
        <v>0</v>
      </c>
      <c r="K141" s="5">
        <f t="shared" si="42"/>
        <v>0</v>
      </c>
      <c r="L141" s="5"/>
      <c r="M141" s="5">
        <f>435000</f>
        <v>435000</v>
      </c>
      <c r="N141" s="5">
        <v>0</v>
      </c>
      <c r="O141" s="5">
        <v>0</v>
      </c>
      <c r="P141" s="5"/>
      <c r="Q141" s="5">
        <v>0</v>
      </c>
      <c r="R141" s="5">
        <v>0</v>
      </c>
      <c r="S141" s="5">
        <v>0</v>
      </c>
    </row>
    <row r="142" spans="1:19" ht="12.75">
      <c r="A142" s="16">
        <f t="shared" si="24"/>
        <v>126</v>
      </c>
      <c r="B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3.5" thickBot="1">
      <c r="A143" s="16">
        <f t="shared" si="24"/>
        <v>127</v>
      </c>
      <c r="B143" s="3" t="s">
        <v>56</v>
      </c>
      <c r="C143" s="17">
        <f>SUM(C140:C142)</f>
        <v>3665614</v>
      </c>
      <c r="D143" s="17">
        <f>SUM(D140:D142)</f>
        <v>5096698</v>
      </c>
      <c r="E143" s="17">
        <f>SUM(E140:E142)</f>
        <v>0</v>
      </c>
      <c r="F143" s="17">
        <f>SUM(F140:F142)</f>
        <v>0</v>
      </c>
      <c r="G143" s="17">
        <f>SUM(G140:G142)</f>
        <v>4381156</v>
      </c>
      <c r="H143" s="17"/>
      <c r="I143" s="17">
        <f>SUM(I140:I142)</f>
        <v>2075404</v>
      </c>
      <c r="J143" s="17">
        <f>SUM(J140:J142)</f>
        <v>1181675.5</v>
      </c>
      <c r="K143" s="17">
        <f>SUM(K140:K142)</f>
        <v>1124076.5</v>
      </c>
      <c r="L143" s="17"/>
      <c r="M143" s="17">
        <f>SUM(M140:M142)</f>
        <v>1886542</v>
      </c>
      <c r="N143" s="17">
        <f>SUM(N140:N142)</f>
        <v>915869</v>
      </c>
      <c r="O143" s="17">
        <f>SUM(O140:O142)</f>
        <v>863203</v>
      </c>
      <c r="P143" s="5"/>
      <c r="Q143" s="17">
        <f>SUM(Q140:Q142)</f>
        <v>2264266</v>
      </c>
      <c r="R143" s="17">
        <f>SUM(R140:R142)</f>
        <v>1447482</v>
      </c>
      <c r="S143" s="17">
        <f>SUM(S140:S142)</f>
        <v>1384950</v>
      </c>
    </row>
    <row r="144" spans="1:19" ht="13.5" thickTop="1">
      <c r="A144" s="16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5"/>
      <c r="Q144" s="18"/>
      <c r="R144" s="18"/>
      <c r="S144" s="18"/>
    </row>
    <row r="145" spans="1:19" ht="12.75">
      <c r="A145" s="1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2.75">
      <c r="A146" s="1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2.75">
      <c r="A147" s="1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2.75">
      <c r="A148" s="1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3:19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3:19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3:19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3:19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3:19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3:19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3:19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3:19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3:19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3:19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3:19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3:19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3:19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3:19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3:19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3:19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3:19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3:19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3:19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3:19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3:19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3:19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3:19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3:19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3:19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3:19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3:19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3:19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3:19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3:19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3:19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3:19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3:19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3:19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3:19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3:19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3:19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3:19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3:19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3:19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3:19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3:19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3:19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3:19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3:19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3:19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3:19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3:19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3:19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3:19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3:19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3:19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3:19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3:19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3:19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3:19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3:19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3:19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3:19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3:19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3:19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3:19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3:19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3:19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3:19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3:19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3:19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3:19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3:19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3:19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3:19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3:19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3:19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3:19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3:19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3:19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3:19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3:19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3:19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3:19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3:19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3:19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3:19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3:19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3:19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3:19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3:19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3:19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3:19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3:19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3:19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3:19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3:19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3:19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3:19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3:19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3:19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3:19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3:19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3:19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3:19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3:19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3:19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3:19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3:19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3:19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3:19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3:19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3:19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3:19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3:19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3:19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3:19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3:19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3:19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3:19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3:19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3:19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3:19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3:19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3:19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3:19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3:19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3:19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3:19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3:19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3:19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3:19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3:19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3:19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3:19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3:19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3:19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3:19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3:19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3:19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3:19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3:19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3:19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3:19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3:19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3:19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3:19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3:19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3:19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3:19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3:19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3:19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3:19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3:19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3:19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3:19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3:19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3:19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3:19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3:19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3:19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3:19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3:19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3:19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3:19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3:19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3:19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3:19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3:19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3:19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3:19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3:19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3:19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3:19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3:19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3:19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3:19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3:19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3:19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3:19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3:19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3:19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3:19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3:19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3:19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3:19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3:19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3:19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3:19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3:19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3:19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3:19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3:19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3:19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3:19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3:19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3:19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3:19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3:19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3:19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3:19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3:19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3:19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3:19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3:19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3:19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3:19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3:19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3:19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3:19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3:19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3:19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3:19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3:19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3:19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3:19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3:19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3:19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3:19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3:19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3:19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3:19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3:19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3:19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3:19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3:19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3:19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3:19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3:19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3:19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3:19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3:19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3:19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3:19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3:19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3:19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3:19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3:19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3:19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3:19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3:19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3:19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3:19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3:19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3:19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3:19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3:19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3:19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3:19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3:19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3:19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3:19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3:19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3:19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3:19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3:19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3:19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3:19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3:19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3:19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3:19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3:19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3:19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3:19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3:19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3:19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3:19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3:19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3:19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3:19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3:19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3:19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3:19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3:19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3:19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3:19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3:19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3:19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3:19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3:19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3:19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3:19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3:19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3:19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3:19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3:19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3:19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3:19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3:19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3:19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3:19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3:19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3:19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3:19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3:19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3:19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3:19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3:19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3:19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3:19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3:19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3:19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3:19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3:19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3:19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3:19" ht="12.7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3:19" ht="12.7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3:19" ht="12.7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3:19" ht="12.7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3:19" ht="12.7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3:19" ht="12.7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3:19" ht="12.7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3:19" ht="12.7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3:19" ht="12.7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3:19" ht="12.7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3:19" ht="12.7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3:19" ht="12.7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3:19" ht="12.7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3:19" ht="12.7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3:19" ht="12.7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3:19" ht="12.7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3:19" ht="12.7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3:19" ht="12.7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3:19" ht="12.7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3:19" ht="12.7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3:19" ht="12.7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3:19" ht="12.7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3:19" ht="12.7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3:19" ht="12.7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3:19" ht="12.7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3:19" ht="12.7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3:19" ht="12.7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3:19" ht="12.7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3:19" ht="12.7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3:19" ht="12.7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3:19" ht="12.7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3:19" ht="12.7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3:19" ht="12.7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3:19" ht="12.7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3:19" ht="12.7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3:19" ht="12.7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3:19" ht="12.7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3:19" ht="12.7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3:19" ht="12.7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3:19" ht="12.7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3:19" ht="12.7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3:19" ht="12.7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3:19" ht="12.7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3:19" ht="12.7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3:19" ht="12.7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3:19" ht="12.7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3:19" ht="12.7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3:19" ht="12.7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3:19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3:19" ht="12.7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3:19" ht="12.7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3:19" ht="12.7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3:19" ht="12.7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3:19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3:19" ht="12.7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3:19" ht="12.7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3:19" ht="12.7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3:19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3:19" ht="12.7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3:19" ht="12.7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3:19" ht="12.7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3:19" ht="12.7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3:19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3:19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3:19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3:19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3:19" ht="12.7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3:19" ht="12.7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</sheetData>
  <sheetProtection/>
  <printOptions/>
  <pageMargins left="0.75" right="0.25" top="0.5" bottom="0.25" header="0.25" footer="0"/>
  <pageSetup horizontalDpi="600" verticalDpi="600" orientation="landscape" scale="55" r:id="rId1"/>
  <headerFooter alignWithMargins="0">
    <oddHeader>&amp;RSTATEMENT AF
PAGE &amp;P OF &amp;N</oddHeader>
  </headerFooter>
  <rowBreaks count="1" manualBreakCount="1">
    <brk id="70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929"/>
  <sheetViews>
    <sheetView showOutlineSymbols="0" zoomScale="87" zoomScaleNormal="87" workbookViewId="0" topLeftCell="A1">
      <selection activeCell="A1" sqref="A1"/>
    </sheetView>
  </sheetViews>
  <sheetFormatPr defaultColWidth="12.7109375" defaultRowHeight="12.75"/>
  <cols>
    <col min="1" max="1" width="5.8515625" style="7" customWidth="1"/>
    <col min="2" max="2" width="55.00390625" style="2" customWidth="1"/>
    <col min="3" max="6" width="16.00390625" style="2" bestFit="1" customWidth="1"/>
    <col min="7" max="7" width="19.140625" style="2" bestFit="1" customWidth="1"/>
    <col min="8" max="8" width="3.140625" style="2" customWidth="1"/>
    <col min="9" max="9" width="16.00390625" style="2" bestFit="1" customWidth="1"/>
    <col min="10" max="10" width="18.28125" style="2" bestFit="1" customWidth="1"/>
    <col min="11" max="11" width="16.7109375" style="2" bestFit="1" customWidth="1"/>
    <col min="12" max="12" width="15.00390625" style="2" bestFit="1" customWidth="1"/>
    <col min="13" max="13" width="4.140625" style="2" customWidth="1"/>
    <col min="14" max="14" width="16.00390625" style="2" bestFit="1" customWidth="1"/>
    <col min="15" max="15" width="18.28125" style="2" bestFit="1" customWidth="1"/>
    <col min="16" max="16" width="16.7109375" style="2" bestFit="1" customWidth="1"/>
    <col min="17" max="17" width="15.00390625" style="2" bestFit="1" customWidth="1"/>
    <col min="18" max="18" width="0.9921875" style="2" customWidth="1"/>
    <col min="19" max="19" width="20.00390625" style="2" hidden="1" customWidth="1"/>
    <col min="20" max="20" width="20.8515625" style="2" hidden="1" customWidth="1"/>
    <col min="21" max="21" width="23.57421875" style="2" hidden="1" customWidth="1"/>
    <col min="22" max="22" width="20.00390625" style="2" hidden="1" customWidth="1"/>
    <col min="23" max="23" width="14.57421875" style="2" customWidth="1"/>
    <col min="24" max="16384" width="12.7109375" style="2" customWidth="1"/>
  </cols>
  <sheetData>
    <row r="1" spans="1:22" ht="15.75">
      <c r="A1" s="90"/>
      <c r="B1" s="80" t="s">
        <v>446</v>
      </c>
      <c r="C1" s="81"/>
      <c r="D1" s="81"/>
      <c r="E1" s="81"/>
      <c r="F1" s="81"/>
      <c r="G1" s="82"/>
      <c r="H1" s="82"/>
      <c r="I1" s="82"/>
      <c r="J1" s="82"/>
      <c r="K1" s="82"/>
      <c r="L1" s="82"/>
      <c r="M1" s="82"/>
      <c r="N1" s="81"/>
      <c r="O1" s="81"/>
      <c r="P1" s="81"/>
      <c r="Q1" s="81"/>
      <c r="U1" s="3"/>
      <c r="V1" s="3"/>
    </row>
    <row r="2" spans="1:22" ht="15.75">
      <c r="A2" s="90"/>
      <c r="B2" s="80" t="s">
        <v>140</v>
      </c>
      <c r="C2" s="81"/>
      <c r="D2" s="81"/>
      <c r="E2" s="81"/>
      <c r="F2" s="81"/>
      <c r="G2" s="82"/>
      <c r="H2" s="82"/>
      <c r="I2" s="82"/>
      <c r="J2" s="82"/>
      <c r="K2" s="82"/>
      <c r="L2" s="82"/>
      <c r="M2" s="82"/>
      <c r="N2" s="81"/>
      <c r="O2" s="81"/>
      <c r="P2" s="81"/>
      <c r="Q2" s="81"/>
      <c r="U2" s="1"/>
      <c r="V2" s="1"/>
    </row>
    <row r="3" spans="1:17" ht="15.75">
      <c r="A3" s="90"/>
      <c r="B3" s="80" t="s">
        <v>567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5">
      <c r="A4" s="90"/>
      <c r="B4" s="9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15">
      <c r="A5" s="90"/>
      <c r="B5" s="9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90"/>
      <c r="B6" s="81"/>
      <c r="C6" s="81"/>
      <c r="D6" s="81"/>
      <c r="E6" s="81"/>
      <c r="F6" s="81"/>
      <c r="G6" s="92" t="s">
        <v>141</v>
      </c>
      <c r="H6" s="92"/>
      <c r="I6" s="92"/>
      <c r="J6" s="92"/>
      <c r="K6" s="92"/>
      <c r="L6" s="92"/>
      <c r="M6" s="92"/>
      <c r="N6" s="81"/>
      <c r="O6" s="81"/>
      <c r="P6" s="81"/>
      <c r="Q6" s="81"/>
    </row>
    <row r="7" spans="1:17" ht="15">
      <c r="A7" s="9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22" ht="15">
      <c r="A8" s="90"/>
      <c r="B8" s="93" t="s">
        <v>2</v>
      </c>
      <c r="C8" s="93" t="s">
        <v>3</v>
      </c>
      <c r="D8" s="93" t="s">
        <v>4</v>
      </c>
      <c r="E8" s="93" t="s">
        <v>5</v>
      </c>
      <c r="F8" s="93" t="s">
        <v>6</v>
      </c>
      <c r="G8" s="93" t="s">
        <v>7</v>
      </c>
      <c r="H8" s="93"/>
      <c r="I8" s="93" t="s">
        <v>8</v>
      </c>
      <c r="J8" s="93" t="s">
        <v>9</v>
      </c>
      <c r="K8" s="93" t="s">
        <v>10</v>
      </c>
      <c r="L8" s="93" t="s">
        <v>11</v>
      </c>
      <c r="M8" s="93"/>
      <c r="N8" s="93" t="s">
        <v>60</v>
      </c>
      <c r="O8" s="93" t="s">
        <v>61</v>
      </c>
      <c r="P8" s="93" t="s">
        <v>62</v>
      </c>
      <c r="Q8" s="93" t="s">
        <v>63</v>
      </c>
      <c r="S8" s="4" t="s">
        <v>64</v>
      </c>
      <c r="T8" s="4" t="s">
        <v>224</v>
      </c>
      <c r="U8" s="4" t="s">
        <v>225</v>
      </c>
      <c r="V8" s="4" t="s">
        <v>226</v>
      </c>
    </row>
    <row r="9" spans="1:17" ht="15">
      <c r="A9" s="9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22" ht="15">
      <c r="A10" s="90"/>
      <c r="B10" s="81"/>
      <c r="C10" s="94" t="s">
        <v>12</v>
      </c>
      <c r="D10" s="94"/>
      <c r="E10" s="95" t="s">
        <v>13</v>
      </c>
      <c r="F10" s="94"/>
      <c r="G10" s="92" t="s">
        <v>14</v>
      </c>
      <c r="H10" s="92"/>
      <c r="I10" s="94" t="s">
        <v>66</v>
      </c>
      <c r="J10" s="94"/>
      <c r="K10" s="94"/>
      <c r="L10" s="94"/>
      <c r="M10" s="92"/>
      <c r="N10" s="94" t="s">
        <v>129</v>
      </c>
      <c r="O10" s="94"/>
      <c r="P10" s="94"/>
      <c r="Q10" s="94"/>
      <c r="S10" s="13" t="s">
        <v>123</v>
      </c>
      <c r="T10" s="10"/>
      <c r="U10" s="10"/>
      <c r="V10" s="10"/>
    </row>
    <row r="11" spans="1:22" ht="15">
      <c r="A11" s="90"/>
      <c r="B11" s="81"/>
      <c r="C11" s="96"/>
      <c r="D11" s="96"/>
      <c r="E11" s="81"/>
      <c r="F11" s="81"/>
      <c r="G11" s="92" t="s">
        <v>15</v>
      </c>
      <c r="H11" s="92"/>
      <c r="I11" s="96"/>
      <c r="J11" s="96"/>
      <c r="K11" s="96"/>
      <c r="L11" s="96"/>
      <c r="M11" s="92"/>
      <c r="N11" s="96"/>
      <c r="O11" s="96"/>
      <c r="P11" s="96"/>
      <c r="Q11" s="96"/>
      <c r="S11" s="14"/>
      <c r="T11" s="14"/>
      <c r="U11" s="14"/>
      <c r="V11" s="14"/>
    </row>
    <row r="12" spans="1:17" ht="15">
      <c r="A12" s="90"/>
      <c r="B12" s="81"/>
      <c r="C12" s="92" t="s">
        <v>16</v>
      </c>
      <c r="D12" s="92" t="s">
        <v>16</v>
      </c>
      <c r="E12" s="92" t="s">
        <v>16</v>
      </c>
      <c r="F12" s="92" t="s">
        <v>16</v>
      </c>
      <c r="G12" s="92" t="s">
        <v>17</v>
      </c>
      <c r="H12" s="92"/>
      <c r="I12" s="81"/>
      <c r="J12" s="81"/>
      <c r="K12" s="81"/>
      <c r="L12" s="81"/>
      <c r="M12" s="92"/>
      <c r="N12" s="81"/>
      <c r="O12" s="81"/>
      <c r="P12" s="81"/>
      <c r="Q12" s="81"/>
    </row>
    <row r="13" spans="1:22" ht="15">
      <c r="A13" s="90"/>
      <c r="B13" s="93" t="s">
        <v>18</v>
      </c>
      <c r="C13" s="93" t="s">
        <v>128</v>
      </c>
      <c r="D13" s="93" t="s">
        <v>122</v>
      </c>
      <c r="E13" s="93" t="str">
        <f>+C13</f>
        <v>OF 12-31-11</v>
      </c>
      <c r="F13" s="93" t="str">
        <f>+D13</f>
        <v>OF 12-31-10</v>
      </c>
      <c r="G13" s="93" t="s">
        <v>19</v>
      </c>
      <c r="H13" s="93"/>
      <c r="I13" s="93" t="s">
        <v>20</v>
      </c>
      <c r="J13" s="93" t="s">
        <v>21</v>
      </c>
      <c r="K13" s="93" t="s">
        <v>22</v>
      </c>
      <c r="L13" s="93" t="s">
        <v>449</v>
      </c>
      <c r="M13" s="93"/>
      <c r="N13" s="93" t="s">
        <v>20</v>
      </c>
      <c r="O13" s="93" t="s">
        <v>21</v>
      </c>
      <c r="P13" s="93" t="s">
        <v>22</v>
      </c>
      <c r="Q13" s="93" t="s">
        <v>449</v>
      </c>
      <c r="S13" s="4" t="s">
        <v>20</v>
      </c>
      <c r="T13" s="4" t="s">
        <v>21</v>
      </c>
      <c r="U13" s="4" t="s">
        <v>22</v>
      </c>
      <c r="V13" s="4" t="s">
        <v>449</v>
      </c>
    </row>
    <row r="14" spans="1:17" ht="15">
      <c r="A14" s="9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28" ht="15">
      <c r="A15" s="97"/>
      <c r="B15" s="83" t="s">
        <v>142</v>
      </c>
      <c r="C15" s="83"/>
      <c r="D15" s="83"/>
      <c r="E15" s="83"/>
      <c r="F15" s="98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">
      <c r="A16" s="9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99">
        <v>1</v>
      </c>
      <c r="B17" s="83" t="s">
        <v>320</v>
      </c>
      <c r="C17" s="83">
        <f aca="true" t="shared" si="0" ref="C17:C48">SUM(N17:Q17)</f>
        <v>38434216.28</v>
      </c>
      <c r="D17" s="83">
        <f aca="true" t="shared" si="1" ref="D17:D48">SUM(S17:V17)</f>
        <v>0</v>
      </c>
      <c r="E17" s="83"/>
      <c r="F17" s="83"/>
      <c r="G17" s="83">
        <f aca="true" t="shared" si="2" ref="G17:G48">ROUND(SUM(C17:F17)/2,0)</f>
        <v>19217108</v>
      </c>
      <c r="H17" s="83"/>
      <c r="I17" s="83">
        <f aca="true" t="shared" si="3" ref="I17:I48">(+N17+S17)/2</f>
        <v>18662699.265</v>
      </c>
      <c r="J17" s="83">
        <f aca="true" t="shared" si="4" ref="J17:J48">(+O17+T17)/2</f>
        <v>154665.135</v>
      </c>
      <c r="K17" s="83">
        <f aca="true" t="shared" si="5" ref="K17:K48">(+P17+U17)/2</f>
        <v>393429.63</v>
      </c>
      <c r="L17" s="83">
        <f aca="true" t="shared" si="6" ref="L17:L48">(+Q17+V17)/2</f>
        <v>6314.11</v>
      </c>
      <c r="M17" s="83"/>
      <c r="N17" s="83">
        <f>37376398.53-51000</f>
        <v>37325398.53</v>
      </c>
      <c r="O17" s="83">
        <v>309330.27</v>
      </c>
      <c r="P17" s="83">
        <v>786859.26</v>
      </c>
      <c r="Q17" s="83">
        <v>12628.22</v>
      </c>
      <c r="R17" s="5"/>
      <c r="S17" s="5">
        <v>0</v>
      </c>
      <c r="T17" s="5">
        <v>0</v>
      </c>
      <c r="U17" s="5">
        <v>0</v>
      </c>
      <c r="V17" s="5">
        <v>0</v>
      </c>
      <c r="W17" s="5"/>
      <c r="X17" s="5"/>
      <c r="Y17" s="5"/>
      <c r="Z17" s="5"/>
      <c r="AA17" s="5"/>
      <c r="AB17" s="5"/>
    </row>
    <row r="18" spans="1:28" ht="15">
      <c r="A18" s="99">
        <f aca="true" t="shared" si="7" ref="A18:A49">+A17+1</f>
        <v>2</v>
      </c>
      <c r="B18" s="83" t="s">
        <v>568</v>
      </c>
      <c r="C18" s="83">
        <f t="shared" si="0"/>
        <v>4245818.85</v>
      </c>
      <c r="D18" s="83">
        <f t="shared" si="1"/>
        <v>5228899.2</v>
      </c>
      <c r="E18" s="83"/>
      <c r="F18" s="83"/>
      <c r="G18" s="83">
        <f t="shared" si="2"/>
        <v>4737359</v>
      </c>
      <c r="H18" s="83"/>
      <c r="I18" s="83">
        <f t="shared" si="3"/>
        <v>4737359.025</v>
      </c>
      <c r="J18" s="83">
        <f t="shared" si="4"/>
        <v>0</v>
      </c>
      <c r="K18" s="83">
        <f t="shared" si="5"/>
        <v>0</v>
      </c>
      <c r="L18" s="83">
        <f t="shared" si="6"/>
        <v>0</v>
      </c>
      <c r="M18" s="83"/>
      <c r="N18" s="83">
        <v>4245818.85</v>
      </c>
      <c r="O18" s="83">
        <v>0</v>
      </c>
      <c r="P18" s="83">
        <v>0</v>
      </c>
      <c r="Q18" s="83">
        <v>0</v>
      </c>
      <c r="R18" s="5"/>
      <c r="S18" s="5">
        <f>5228899.2</f>
        <v>5228899.2</v>
      </c>
      <c r="T18" s="5">
        <v>0</v>
      </c>
      <c r="U18" s="5">
        <v>0</v>
      </c>
      <c r="V18" s="5">
        <v>0</v>
      </c>
      <c r="W18" s="5"/>
      <c r="X18" s="5"/>
      <c r="Y18" s="5"/>
      <c r="Z18" s="5"/>
      <c r="AA18" s="5"/>
      <c r="AB18" s="5"/>
    </row>
    <row r="19" spans="1:28" ht="15">
      <c r="A19" s="99">
        <f t="shared" si="7"/>
        <v>3</v>
      </c>
      <c r="B19" s="83" t="s">
        <v>569</v>
      </c>
      <c r="C19" s="83">
        <f t="shared" si="0"/>
        <v>17719361.51</v>
      </c>
      <c r="D19" s="83">
        <f t="shared" si="1"/>
        <v>8484001.08</v>
      </c>
      <c r="E19" s="83"/>
      <c r="F19" s="83"/>
      <c r="G19" s="83">
        <f t="shared" si="2"/>
        <v>13101681</v>
      </c>
      <c r="H19" s="83"/>
      <c r="I19" s="83">
        <f t="shared" si="3"/>
        <v>13101681.295000002</v>
      </c>
      <c r="J19" s="83">
        <f t="shared" si="4"/>
        <v>0</v>
      </c>
      <c r="K19" s="83">
        <f t="shared" si="5"/>
        <v>0</v>
      </c>
      <c r="L19" s="83">
        <f t="shared" si="6"/>
        <v>0</v>
      </c>
      <c r="M19" s="83"/>
      <c r="N19" s="83">
        <v>17719361.51</v>
      </c>
      <c r="O19" s="83">
        <v>0</v>
      </c>
      <c r="P19" s="83">
        <v>0</v>
      </c>
      <c r="Q19" s="83">
        <v>0</v>
      </c>
      <c r="R19" s="5"/>
      <c r="S19" s="5">
        <f>4159996.68+4324004.4</f>
        <v>8484001.08</v>
      </c>
      <c r="T19" s="5">
        <v>0</v>
      </c>
      <c r="U19" s="5">
        <v>0</v>
      </c>
      <c r="V19" s="5">
        <v>0</v>
      </c>
      <c r="W19" s="5"/>
      <c r="X19" s="5"/>
      <c r="Y19" s="5"/>
      <c r="Z19" s="5"/>
      <c r="AA19" s="5"/>
      <c r="AB19" s="5"/>
    </row>
    <row r="20" spans="1:28" ht="15">
      <c r="A20" s="99">
        <f t="shared" si="7"/>
        <v>4</v>
      </c>
      <c r="B20" s="83" t="s">
        <v>144</v>
      </c>
      <c r="C20" s="83">
        <f t="shared" si="0"/>
        <v>88283287.36000001</v>
      </c>
      <c r="D20" s="83">
        <f t="shared" si="1"/>
        <v>86053696.53999999</v>
      </c>
      <c r="E20" s="83"/>
      <c r="F20" s="83"/>
      <c r="G20" s="83">
        <f t="shared" si="2"/>
        <v>87168492</v>
      </c>
      <c r="H20" s="83"/>
      <c r="I20" s="83">
        <f t="shared" si="3"/>
        <v>68874731.36500001</v>
      </c>
      <c r="J20" s="83">
        <f t="shared" si="4"/>
        <v>8617289.165</v>
      </c>
      <c r="K20" s="83">
        <f t="shared" si="5"/>
        <v>9676471.419999998</v>
      </c>
      <c r="L20" s="83">
        <f t="shared" si="6"/>
        <v>0</v>
      </c>
      <c r="M20" s="83"/>
      <c r="N20" s="83">
        <v>69661400.84</v>
      </c>
      <c r="O20" s="83">
        <f>11951928.4-3253839</f>
        <v>8698089.4</v>
      </c>
      <c r="P20" s="83">
        <f>14901273.12-4977476</f>
        <v>9923797.12</v>
      </c>
      <c r="Q20" s="83">
        <v>0</v>
      </c>
      <c r="R20" s="5"/>
      <c r="S20" s="5">
        <f>48717201.52+19370860.37</f>
        <v>68088061.89</v>
      </c>
      <c r="T20" s="5">
        <f>6626887.66-1946527+3856128.27</f>
        <v>8536488.93</v>
      </c>
      <c r="U20" s="5">
        <f>7452710.93-2427930+4404364.79</f>
        <v>9429145.719999999</v>
      </c>
      <c r="V20" s="5">
        <v>0</v>
      </c>
      <c r="W20" s="5"/>
      <c r="X20" s="5"/>
      <c r="Y20" s="5"/>
      <c r="Z20" s="5"/>
      <c r="AA20" s="5"/>
      <c r="AB20" s="5"/>
    </row>
    <row r="21" spans="1:28" ht="15">
      <c r="A21" s="99">
        <f t="shared" si="7"/>
        <v>5</v>
      </c>
      <c r="B21" s="83" t="s">
        <v>570</v>
      </c>
      <c r="C21" s="83">
        <f t="shared" si="0"/>
        <v>21450797.740000002</v>
      </c>
      <c r="D21" s="83">
        <f t="shared" si="1"/>
        <v>24322858.53</v>
      </c>
      <c r="E21" s="83"/>
      <c r="F21" s="83"/>
      <c r="G21" s="83">
        <f t="shared" si="2"/>
        <v>22886828</v>
      </c>
      <c r="H21" s="83"/>
      <c r="I21" s="83">
        <f t="shared" si="3"/>
        <v>0</v>
      </c>
      <c r="J21" s="83">
        <f t="shared" si="4"/>
        <v>3676667.5999999996</v>
      </c>
      <c r="K21" s="83">
        <f t="shared" si="5"/>
        <v>19210160.535</v>
      </c>
      <c r="L21" s="83">
        <f t="shared" si="6"/>
        <v>0</v>
      </c>
      <c r="M21" s="83"/>
      <c r="N21" s="83">
        <v>0</v>
      </c>
      <c r="O21" s="83">
        <v>3825097.03</v>
      </c>
      <c r="P21" s="83">
        <v>17625700.71</v>
      </c>
      <c r="Q21" s="83">
        <v>0</v>
      </c>
      <c r="R21" s="5"/>
      <c r="S21" s="5">
        <v>0</v>
      </c>
      <c r="T21" s="5">
        <f>1418068.68+2110169.49</f>
        <v>3528238.17</v>
      </c>
      <c r="U21" s="5">
        <f>9212353.8+11582266.56</f>
        <v>20794620.36</v>
      </c>
      <c r="V21" s="5">
        <v>0</v>
      </c>
      <c r="W21" s="5"/>
      <c r="X21" s="5"/>
      <c r="Y21" s="5"/>
      <c r="Z21" s="5"/>
      <c r="AA21" s="5"/>
      <c r="AB21" s="5"/>
    </row>
    <row r="22" spans="1:28" ht="15">
      <c r="A22" s="99">
        <f t="shared" si="7"/>
        <v>6</v>
      </c>
      <c r="B22" s="83" t="s">
        <v>325</v>
      </c>
      <c r="C22" s="83">
        <f t="shared" si="0"/>
        <v>3920676.03</v>
      </c>
      <c r="D22" s="83">
        <f t="shared" si="1"/>
        <v>3363610.3499999996</v>
      </c>
      <c r="E22" s="83"/>
      <c r="F22" s="83"/>
      <c r="G22" s="83">
        <f t="shared" si="2"/>
        <v>3642143</v>
      </c>
      <c r="H22" s="83"/>
      <c r="I22" s="83">
        <f t="shared" si="3"/>
        <v>0</v>
      </c>
      <c r="J22" s="83">
        <f t="shared" si="4"/>
        <v>0</v>
      </c>
      <c r="K22" s="83">
        <f t="shared" si="5"/>
        <v>3642143.1899999995</v>
      </c>
      <c r="L22" s="83">
        <f t="shared" si="6"/>
        <v>0</v>
      </c>
      <c r="M22" s="83"/>
      <c r="N22" s="83">
        <v>0</v>
      </c>
      <c r="O22" s="83">
        <v>0</v>
      </c>
      <c r="P22" s="83">
        <v>3920676.03</v>
      </c>
      <c r="Q22" s="83">
        <v>0</v>
      </c>
      <c r="R22" s="5"/>
      <c r="S22" s="5">
        <v>0</v>
      </c>
      <c r="T22" s="5">
        <v>0</v>
      </c>
      <c r="U22" s="5">
        <f>1793112.88+1570497.47</f>
        <v>3363610.3499999996</v>
      </c>
      <c r="V22" s="5">
        <v>0</v>
      </c>
      <c r="W22" s="5"/>
      <c r="X22" s="5"/>
      <c r="Y22" s="5"/>
      <c r="Z22" s="5"/>
      <c r="AA22" s="5"/>
      <c r="AB22" s="5"/>
    </row>
    <row r="23" spans="1:28" ht="15">
      <c r="A23" s="99">
        <f t="shared" si="7"/>
        <v>7</v>
      </c>
      <c r="B23" s="83" t="s">
        <v>571</v>
      </c>
      <c r="C23" s="83">
        <f t="shared" si="0"/>
        <v>0</v>
      </c>
      <c r="D23" s="83">
        <f t="shared" si="1"/>
        <v>3310987.27</v>
      </c>
      <c r="E23" s="83"/>
      <c r="F23" s="83"/>
      <c r="G23" s="83">
        <f t="shared" si="2"/>
        <v>1655494</v>
      </c>
      <c r="H23" s="83"/>
      <c r="I23" s="83">
        <f t="shared" si="3"/>
        <v>0</v>
      </c>
      <c r="J23" s="83">
        <f t="shared" si="4"/>
        <v>0</v>
      </c>
      <c r="K23" s="83">
        <f t="shared" si="5"/>
        <v>1655493.635</v>
      </c>
      <c r="L23" s="83">
        <f t="shared" si="6"/>
        <v>0</v>
      </c>
      <c r="M23" s="83"/>
      <c r="N23" s="83">
        <v>0</v>
      </c>
      <c r="O23" s="83">
        <v>0</v>
      </c>
      <c r="P23" s="83">
        <v>0</v>
      </c>
      <c r="Q23" s="83">
        <v>0</v>
      </c>
      <c r="R23" s="5"/>
      <c r="S23" s="5">
        <v>0</v>
      </c>
      <c r="T23" s="5">
        <v>0</v>
      </c>
      <c r="U23" s="5">
        <v>3310987.27</v>
      </c>
      <c r="V23" s="5">
        <v>0</v>
      </c>
      <c r="W23" s="5"/>
      <c r="X23" s="5"/>
      <c r="Y23" s="5"/>
      <c r="Z23" s="5"/>
      <c r="AA23" s="5"/>
      <c r="AB23" s="5"/>
    </row>
    <row r="24" spans="1:28" ht="15">
      <c r="A24" s="99">
        <f t="shared" si="7"/>
        <v>8</v>
      </c>
      <c r="B24" s="83" t="s">
        <v>152</v>
      </c>
      <c r="C24" s="83">
        <f t="shared" si="0"/>
        <v>11352992.25</v>
      </c>
      <c r="D24" s="83">
        <f t="shared" si="1"/>
        <v>20149584.3</v>
      </c>
      <c r="E24" s="83"/>
      <c r="F24" s="83"/>
      <c r="G24" s="83">
        <f t="shared" si="2"/>
        <v>15751288</v>
      </c>
      <c r="H24" s="83"/>
      <c r="I24" s="83">
        <f t="shared" si="3"/>
        <v>-567823.325</v>
      </c>
      <c r="J24" s="83">
        <f t="shared" si="4"/>
        <v>3602398.465</v>
      </c>
      <c r="K24" s="83">
        <f t="shared" si="5"/>
        <v>12716713.135</v>
      </c>
      <c r="L24" s="83">
        <f t="shared" si="6"/>
        <v>0</v>
      </c>
      <c r="M24" s="83"/>
      <c r="N24" s="83">
        <v>11105.86</v>
      </c>
      <c r="O24" s="83">
        <v>3408460.12</v>
      </c>
      <c r="P24" s="83">
        <v>7933426.27</v>
      </c>
      <c r="Q24" s="83">
        <v>0</v>
      </c>
      <c r="R24" s="5"/>
      <c r="S24" s="5">
        <f>-660850.53-485901.98</f>
        <v>-1146752.51</v>
      </c>
      <c r="T24" s="5">
        <f>2216110.67+1580226.14</f>
        <v>3796336.8099999996</v>
      </c>
      <c r="U24" s="5">
        <v>17500000</v>
      </c>
      <c r="V24" s="5">
        <v>0</v>
      </c>
      <c r="W24" s="5"/>
      <c r="X24" s="5"/>
      <c r="Y24" s="5"/>
      <c r="Z24" s="5"/>
      <c r="AA24" s="5"/>
      <c r="AB24" s="5"/>
    </row>
    <row r="25" spans="1:28" ht="15">
      <c r="A25" s="99">
        <f t="shared" si="7"/>
        <v>9</v>
      </c>
      <c r="B25" s="83" t="s">
        <v>572</v>
      </c>
      <c r="C25" s="83">
        <f t="shared" si="0"/>
        <v>-5950</v>
      </c>
      <c r="D25" s="83">
        <f t="shared" si="1"/>
        <v>-5950</v>
      </c>
      <c r="E25" s="83"/>
      <c r="F25" s="83"/>
      <c r="G25" s="83">
        <f t="shared" si="2"/>
        <v>-5950</v>
      </c>
      <c r="H25" s="83"/>
      <c r="I25" s="83">
        <f t="shared" si="3"/>
        <v>-5950</v>
      </c>
      <c r="J25" s="83">
        <f t="shared" si="4"/>
        <v>0</v>
      </c>
      <c r="K25" s="83">
        <f t="shared" si="5"/>
        <v>0</v>
      </c>
      <c r="L25" s="83">
        <f t="shared" si="6"/>
        <v>0</v>
      </c>
      <c r="M25" s="83"/>
      <c r="N25" s="83">
        <v>-5950</v>
      </c>
      <c r="O25" s="83">
        <v>0</v>
      </c>
      <c r="P25" s="83">
        <v>0</v>
      </c>
      <c r="Q25" s="83">
        <v>0</v>
      </c>
      <c r="R25" s="5"/>
      <c r="S25" s="5">
        <v>-5950</v>
      </c>
      <c r="T25" s="5">
        <v>0</v>
      </c>
      <c r="U25" s="5">
        <v>0</v>
      </c>
      <c r="V25" s="5">
        <v>0</v>
      </c>
      <c r="W25" s="5"/>
      <c r="X25" s="5"/>
      <c r="Y25" s="5"/>
      <c r="Z25" s="5"/>
      <c r="AA25" s="5"/>
      <c r="AB25" s="5"/>
    </row>
    <row r="26" spans="1:28" ht="15">
      <c r="A26" s="99">
        <f t="shared" si="7"/>
        <v>10</v>
      </c>
      <c r="B26" s="83" t="s">
        <v>573</v>
      </c>
      <c r="C26" s="83">
        <f t="shared" si="0"/>
        <v>0</v>
      </c>
      <c r="D26" s="83">
        <f t="shared" si="1"/>
        <v>96842.76</v>
      </c>
      <c r="E26" s="83"/>
      <c r="F26" s="83"/>
      <c r="G26" s="83">
        <f t="shared" si="2"/>
        <v>48421</v>
      </c>
      <c r="H26" s="83"/>
      <c r="I26" s="83">
        <f t="shared" si="3"/>
        <v>48421.38</v>
      </c>
      <c r="J26" s="83">
        <f t="shared" si="4"/>
        <v>0</v>
      </c>
      <c r="K26" s="83">
        <f t="shared" si="5"/>
        <v>0</v>
      </c>
      <c r="L26" s="83">
        <f t="shared" si="6"/>
        <v>0</v>
      </c>
      <c r="M26" s="83"/>
      <c r="N26" s="83">
        <v>0</v>
      </c>
      <c r="O26" s="83">
        <v>0</v>
      </c>
      <c r="P26" s="83">
        <v>0</v>
      </c>
      <c r="Q26" s="83">
        <v>0</v>
      </c>
      <c r="R26" s="5"/>
      <c r="S26" s="5">
        <v>96842.76</v>
      </c>
      <c r="T26" s="5">
        <v>0</v>
      </c>
      <c r="U26" s="5">
        <v>0</v>
      </c>
      <c r="V26" s="5">
        <v>0</v>
      </c>
      <c r="W26" s="5"/>
      <c r="X26" s="5"/>
      <c r="Y26" s="5"/>
      <c r="Z26" s="5"/>
      <c r="AA26" s="5"/>
      <c r="AB26" s="5"/>
    </row>
    <row r="27" spans="1:28" ht="15">
      <c r="A27" s="99">
        <f t="shared" si="7"/>
        <v>11</v>
      </c>
      <c r="B27" s="83" t="s">
        <v>574</v>
      </c>
      <c r="C27" s="83">
        <f t="shared" si="0"/>
        <v>1149346.45</v>
      </c>
      <c r="D27" s="83">
        <f t="shared" si="1"/>
        <v>-13139304.19</v>
      </c>
      <c r="E27" s="83"/>
      <c r="F27" s="83"/>
      <c r="G27" s="83">
        <f t="shared" si="2"/>
        <v>-5994979</v>
      </c>
      <c r="H27" s="83"/>
      <c r="I27" s="83">
        <f t="shared" si="3"/>
        <v>-5994978.87</v>
      </c>
      <c r="J27" s="83">
        <f t="shared" si="4"/>
        <v>0</v>
      </c>
      <c r="K27" s="83">
        <f t="shared" si="5"/>
        <v>0</v>
      </c>
      <c r="L27" s="83">
        <f t="shared" si="6"/>
        <v>0</v>
      </c>
      <c r="M27" s="83"/>
      <c r="N27" s="83">
        <v>1149346.45</v>
      </c>
      <c r="O27" s="83">
        <v>0</v>
      </c>
      <c r="P27" s="83">
        <v>0</v>
      </c>
      <c r="Q27" s="83">
        <v>0</v>
      </c>
      <c r="R27" s="5"/>
      <c r="S27" s="5">
        <f>-6943050.51-6196253.68</f>
        <v>-13139304.19</v>
      </c>
      <c r="T27" s="5">
        <v>0</v>
      </c>
      <c r="U27" s="5">
        <v>0</v>
      </c>
      <c r="V27" s="5">
        <v>0</v>
      </c>
      <c r="W27" s="5"/>
      <c r="X27" s="5"/>
      <c r="Y27" s="5"/>
      <c r="Z27" s="5"/>
      <c r="AA27" s="5"/>
      <c r="AB27" s="5"/>
    </row>
    <row r="28" spans="1:28" ht="15">
      <c r="A28" s="99">
        <f t="shared" si="7"/>
        <v>12</v>
      </c>
      <c r="B28" s="83" t="s">
        <v>575</v>
      </c>
      <c r="C28" s="83">
        <f t="shared" si="0"/>
        <v>-7932790.09</v>
      </c>
      <c r="D28" s="83">
        <f t="shared" si="1"/>
        <v>-8120808.11</v>
      </c>
      <c r="E28" s="83"/>
      <c r="F28" s="83"/>
      <c r="G28" s="83">
        <f t="shared" si="2"/>
        <v>-8026799</v>
      </c>
      <c r="H28" s="83"/>
      <c r="I28" s="83">
        <f t="shared" si="3"/>
        <v>-8107094.665</v>
      </c>
      <c r="J28" s="83">
        <f t="shared" si="4"/>
        <v>5747.530000000001</v>
      </c>
      <c r="K28" s="83">
        <f t="shared" si="5"/>
        <v>20573.5</v>
      </c>
      <c r="L28" s="83">
        <f t="shared" si="6"/>
        <v>53974.535</v>
      </c>
      <c r="M28" s="83"/>
      <c r="N28" s="83">
        <v>-8014827.7</v>
      </c>
      <c r="O28" s="83">
        <v>5377.76</v>
      </c>
      <c r="P28" s="83">
        <v>24379.87</v>
      </c>
      <c r="Q28" s="83">
        <v>52279.98</v>
      </c>
      <c r="R28" s="5"/>
      <c r="S28" s="5">
        <f>-8701036.57+501674.94</f>
        <v>-8199361.63</v>
      </c>
      <c r="T28" s="5">
        <v>6117.3</v>
      </c>
      <c r="U28" s="5">
        <v>16767.13</v>
      </c>
      <c r="V28" s="5">
        <v>55669.09</v>
      </c>
      <c r="W28" s="5"/>
      <c r="X28" s="5"/>
      <c r="Y28" s="5"/>
      <c r="Z28" s="5"/>
      <c r="AA28" s="5"/>
      <c r="AB28" s="5"/>
    </row>
    <row r="29" spans="1:28" ht="15">
      <c r="A29" s="99">
        <f t="shared" si="7"/>
        <v>13</v>
      </c>
      <c r="B29" s="83" t="s">
        <v>157</v>
      </c>
      <c r="C29" s="83">
        <f t="shared" si="0"/>
        <v>74329.77</v>
      </c>
      <c r="D29" s="83">
        <f t="shared" si="1"/>
        <v>73645.96</v>
      </c>
      <c r="E29" s="83"/>
      <c r="F29" s="83"/>
      <c r="G29" s="83">
        <f t="shared" si="2"/>
        <v>73988</v>
      </c>
      <c r="H29" s="83"/>
      <c r="I29" s="83">
        <f t="shared" si="3"/>
        <v>73277.735</v>
      </c>
      <c r="J29" s="83">
        <f t="shared" si="4"/>
        <v>0</v>
      </c>
      <c r="K29" s="83">
        <f t="shared" si="5"/>
        <v>710.13</v>
      </c>
      <c r="L29" s="83">
        <f t="shared" si="6"/>
        <v>0</v>
      </c>
      <c r="M29" s="83"/>
      <c r="N29" s="83">
        <v>73736.72</v>
      </c>
      <c r="O29" s="83">
        <v>0</v>
      </c>
      <c r="P29" s="83">
        <v>593.05</v>
      </c>
      <c r="Q29" s="83">
        <v>0</v>
      </c>
      <c r="R29" s="5"/>
      <c r="S29" s="5">
        <f>72508.31+310.44</f>
        <v>72818.75</v>
      </c>
      <c r="T29" s="5">
        <v>0</v>
      </c>
      <c r="U29" s="5">
        <v>827.21</v>
      </c>
      <c r="V29" s="5">
        <v>0</v>
      </c>
      <c r="W29" s="5"/>
      <c r="X29" s="5"/>
      <c r="Y29" s="5"/>
      <c r="Z29" s="5"/>
      <c r="AA29" s="5"/>
      <c r="AB29" s="5"/>
    </row>
    <row r="30" spans="1:28" ht="15">
      <c r="A30" s="99">
        <f t="shared" si="7"/>
        <v>14</v>
      </c>
      <c r="B30" s="83" t="s">
        <v>576</v>
      </c>
      <c r="C30" s="83">
        <f t="shared" si="0"/>
        <v>-592.9</v>
      </c>
      <c r="D30" s="83">
        <f t="shared" si="1"/>
        <v>-593.25</v>
      </c>
      <c r="E30" s="83"/>
      <c r="F30" s="83"/>
      <c r="G30" s="83">
        <f t="shared" si="2"/>
        <v>-593</v>
      </c>
      <c r="H30" s="83"/>
      <c r="I30" s="83">
        <f t="shared" si="3"/>
        <v>-0.175</v>
      </c>
      <c r="J30" s="83">
        <f t="shared" si="4"/>
        <v>0</v>
      </c>
      <c r="K30" s="83">
        <f t="shared" si="5"/>
        <v>-592.9</v>
      </c>
      <c r="L30" s="83">
        <f t="shared" si="6"/>
        <v>0</v>
      </c>
      <c r="M30" s="83"/>
      <c r="N30" s="83">
        <v>0</v>
      </c>
      <c r="O30" s="83">
        <v>0</v>
      </c>
      <c r="P30" s="83">
        <v>-592.9</v>
      </c>
      <c r="Q30" s="83">
        <v>0</v>
      </c>
      <c r="R30" s="5"/>
      <c r="S30" s="5">
        <v>-0.35</v>
      </c>
      <c r="T30" s="5">
        <v>0</v>
      </c>
      <c r="U30" s="5">
        <v>-592.9</v>
      </c>
      <c r="V30" s="5">
        <v>0</v>
      </c>
      <c r="W30" s="5"/>
      <c r="X30" s="5"/>
      <c r="Y30" s="5"/>
      <c r="Z30" s="5"/>
      <c r="AA30" s="5"/>
      <c r="AB30" s="5"/>
    </row>
    <row r="31" spans="1:28" ht="15">
      <c r="A31" s="99">
        <f t="shared" si="7"/>
        <v>15</v>
      </c>
      <c r="B31" s="83" t="s">
        <v>577</v>
      </c>
      <c r="C31" s="83">
        <f t="shared" si="0"/>
        <v>179645.09</v>
      </c>
      <c r="D31" s="83">
        <f t="shared" si="1"/>
        <v>178573.33000000002</v>
      </c>
      <c r="E31" s="83"/>
      <c r="F31" s="83"/>
      <c r="G31" s="83">
        <f t="shared" si="2"/>
        <v>179109</v>
      </c>
      <c r="H31" s="83"/>
      <c r="I31" s="83">
        <f t="shared" si="3"/>
        <v>81057.925</v>
      </c>
      <c r="J31" s="83">
        <f t="shared" si="4"/>
        <v>-0.1</v>
      </c>
      <c r="K31" s="83">
        <f t="shared" si="5"/>
        <v>98051.385</v>
      </c>
      <c r="L31" s="83">
        <f t="shared" si="6"/>
        <v>0</v>
      </c>
      <c r="M31" s="83"/>
      <c r="N31" s="83">
        <v>39485.53</v>
      </c>
      <c r="O31" s="83">
        <v>0</v>
      </c>
      <c r="P31" s="83">
        <v>140159.56</v>
      </c>
      <c r="Q31" s="83">
        <v>0</v>
      </c>
      <c r="R31" s="5"/>
      <c r="S31" s="5">
        <f>122630.27+0.05</f>
        <v>122630.32</v>
      </c>
      <c r="T31" s="5">
        <v>-0.2</v>
      </c>
      <c r="U31" s="5">
        <f>-0.1+55943.31</f>
        <v>55943.21</v>
      </c>
      <c r="V31" s="5">
        <v>0</v>
      </c>
      <c r="W31" s="5"/>
      <c r="X31" s="5"/>
      <c r="Y31" s="5"/>
      <c r="Z31" s="5"/>
      <c r="AA31" s="5"/>
      <c r="AB31" s="5"/>
    </row>
    <row r="32" spans="1:28" ht="15">
      <c r="A32" s="99">
        <f t="shared" si="7"/>
        <v>16</v>
      </c>
      <c r="B32" s="83" t="s">
        <v>578</v>
      </c>
      <c r="C32" s="83">
        <f t="shared" si="0"/>
        <v>0</v>
      </c>
      <c r="D32" s="83">
        <f t="shared" si="1"/>
        <v>95</v>
      </c>
      <c r="E32" s="83"/>
      <c r="F32" s="83"/>
      <c r="G32" s="83">
        <f t="shared" si="2"/>
        <v>48</v>
      </c>
      <c r="H32" s="83"/>
      <c r="I32" s="83">
        <f t="shared" si="3"/>
        <v>0</v>
      </c>
      <c r="J32" s="83">
        <f t="shared" si="4"/>
        <v>0</v>
      </c>
      <c r="K32" s="83">
        <f t="shared" si="5"/>
        <v>47.5</v>
      </c>
      <c r="L32" s="83">
        <f t="shared" si="6"/>
        <v>0</v>
      </c>
      <c r="M32" s="83"/>
      <c r="N32" s="83">
        <v>0</v>
      </c>
      <c r="O32" s="83">
        <v>0</v>
      </c>
      <c r="P32" s="83">
        <v>0</v>
      </c>
      <c r="Q32" s="83">
        <v>0</v>
      </c>
      <c r="R32" s="5"/>
      <c r="S32" s="5">
        <v>0</v>
      </c>
      <c r="T32" s="5">
        <v>0</v>
      </c>
      <c r="U32" s="5">
        <v>95</v>
      </c>
      <c r="V32" s="5">
        <v>0</v>
      </c>
      <c r="W32" s="5"/>
      <c r="X32" s="5"/>
      <c r="Y32" s="5"/>
      <c r="Z32" s="5"/>
      <c r="AA32" s="5"/>
      <c r="AB32" s="5"/>
    </row>
    <row r="33" spans="1:28" ht="15">
      <c r="A33" s="99">
        <f t="shared" si="7"/>
        <v>17</v>
      </c>
      <c r="B33" s="83" t="s">
        <v>161</v>
      </c>
      <c r="C33" s="83">
        <f t="shared" si="0"/>
        <v>125231.87999999999</v>
      </c>
      <c r="D33" s="83">
        <f t="shared" si="1"/>
        <v>112907.22</v>
      </c>
      <c r="E33" s="83"/>
      <c r="F33" s="83"/>
      <c r="G33" s="83">
        <f t="shared" si="2"/>
        <v>119070</v>
      </c>
      <c r="H33" s="83"/>
      <c r="I33" s="83">
        <f t="shared" si="3"/>
        <v>93290.855</v>
      </c>
      <c r="J33" s="83">
        <f t="shared" si="4"/>
        <v>509.6</v>
      </c>
      <c r="K33" s="83">
        <f t="shared" si="5"/>
        <v>22795.995000000003</v>
      </c>
      <c r="L33" s="83">
        <f t="shared" si="6"/>
        <v>2473.1</v>
      </c>
      <c r="M33" s="83"/>
      <c r="N33" s="83">
        <v>92302.43</v>
      </c>
      <c r="O33" s="83">
        <v>1019.2</v>
      </c>
      <c r="P33" s="83">
        <v>28014.05</v>
      </c>
      <c r="Q33" s="83">
        <v>3896.2</v>
      </c>
      <c r="R33" s="5"/>
      <c r="S33" s="5">
        <f>80561.97+13717.31</f>
        <v>94279.28</v>
      </c>
      <c r="T33" s="5">
        <v>0</v>
      </c>
      <c r="U33" s="5">
        <f>5560.18+12017.76</f>
        <v>17577.940000000002</v>
      </c>
      <c r="V33" s="5">
        <v>1050</v>
      </c>
      <c r="W33" s="5"/>
      <c r="X33" s="5"/>
      <c r="Y33" s="5"/>
      <c r="Z33" s="5"/>
      <c r="AA33" s="5"/>
      <c r="AB33" s="5"/>
    </row>
    <row r="34" spans="1:28" ht="15">
      <c r="A34" s="99">
        <f t="shared" si="7"/>
        <v>18</v>
      </c>
      <c r="B34" s="83" t="s">
        <v>579</v>
      </c>
      <c r="C34" s="83">
        <f t="shared" si="0"/>
        <v>0</v>
      </c>
      <c r="D34" s="83">
        <f t="shared" si="1"/>
        <v>0.88</v>
      </c>
      <c r="E34" s="83"/>
      <c r="F34" s="83"/>
      <c r="G34" s="83">
        <f t="shared" si="2"/>
        <v>0</v>
      </c>
      <c r="H34" s="83"/>
      <c r="I34" s="83">
        <f t="shared" si="3"/>
        <v>0</v>
      </c>
      <c r="J34" s="83">
        <f t="shared" si="4"/>
        <v>0</v>
      </c>
      <c r="K34" s="83">
        <f t="shared" si="5"/>
        <v>0.44</v>
      </c>
      <c r="L34" s="83">
        <f t="shared" si="6"/>
        <v>0</v>
      </c>
      <c r="M34" s="83"/>
      <c r="N34" s="83">
        <v>0</v>
      </c>
      <c r="O34" s="83">
        <v>0</v>
      </c>
      <c r="P34" s="83">
        <v>0</v>
      </c>
      <c r="Q34" s="83">
        <v>0</v>
      </c>
      <c r="R34" s="5"/>
      <c r="S34" s="5">
        <v>0</v>
      </c>
      <c r="T34" s="5">
        <v>0</v>
      </c>
      <c r="U34" s="5">
        <f>0.89-0.01</f>
        <v>0.88</v>
      </c>
      <c r="V34" s="5">
        <v>0</v>
      </c>
      <c r="W34" s="5"/>
      <c r="X34" s="5"/>
      <c r="Y34" s="5"/>
      <c r="Z34" s="5"/>
      <c r="AA34" s="5"/>
      <c r="AB34" s="5"/>
    </row>
    <row r="35" spans="1:28" ht="15">
      <c r="A35" s="99">
        <f t="shared" si="7"/>
        <v>19</v>
      </c>
      <c r="B35" s="83" t="s">
        <v>580</v>
      </c>
      <c r="C35" s="83">
        <f t="shared" si="0"/>
        <v>0</v>
      </c>
      <c r="D35" s="83">
        <f t="shared" si="1"/>
        <v>87.9</v>
      </c>
      <c r="E35" s="83"/>
      <c r="F35" s="83"/>
      <c r="G35" s="83">
        <f t="shared" si="2"/>
        <v>44</v>
      </c>
      <c r="H35" s="83"/>
      <c r="I35" s="83">
        <f t="shared" si="3"/>
        <v>43.95</v>
      </c>
      <c r="J35" s="83">
        <f t="shared" si="4"/>
        <v>0</v>
      </c>
      <c r="K35" s="83">
        <f t="shared" si="5"/>
        <v>0</v>
      </c>
      <c r="L35" s="83">
        <f t="shared" si="6"/>
        <v>0</v>
      </c>
      <c r="M35" s="83"/>
      <c r="N35" s="83">
        <v>0</v>
      </c>
      <c r="O35" s="83">
        <v>0</v>
      </c>
      <c r="P35" s="83">
        <v>0</v>
      </c>
      <c r="Q35" s="83">
        <v>0</v>
      </c>
      <c r="R35" s="5"/>
      <c r="S35" s="5">
        <v>87.9</v>
      </c>
      <c r="T35" s="5">
        <v>0</v>
      </c>
      <c r="U35" s="5">
        <v>0</v>
      </c>
      <c r="V35" s="5">
        <v>0</v>
      </c>
      <c r="W35" s="5"/>
      <c r="X35" s="5"/>
      <c r="Y35" s="5"/>
      <c r="Z35" s="5"/>
      <c r="AA35" s="5"/>
      <c r="AB35" s="5"/>
    </row>
    <row r="36" spans="1:28" ht="15">
      <c r="A36" s="99">
        <f t="shared" si="7"/>
        <v>20</v>
      </c>
      <c r="B36" s="83" t="s">
        <v>162</v>
      </c>
      <c r="C36" s="83">
        <f t="shared" si="0"/>
        <v>1249924.1900000002</v>
      </c>
      <c r="D36" s="83">
        <f t="shared" si="1"/>
        <v>1318233.7500000002</v>
      </c>
      <c r="E36" s="83"/>
      <c r="F36" s="83"/>
      <c r="G36" s="83">
        <f t="shared" si="2"/>
        <v>1284079</v>
      </c>
      <c r="H36" s="83"/>
      <c r="I36" s="83">
        <f t="shared" si="3"/>
        <v>57767.675</v>
      </c>
      <c r="J36" s="83">
        <f t="shared" si="4"/>
        <v>1211960.485</v>
      </c>
      <c r="K36" s="83">
        <f t="shared" si="5"/>
        <v>14350.81</v>
      </c>
      <c r="L36" s="83">
        <f t="shared" si="6"/>
        <v>0</v>
      </c>
      <c r="M36" s="83"/>
      <c r="N36" s="83">
        <v>19343.24</v>
      </c>
      <c r="O36" s="83">
        <v>1213783.85</v>
      </c>
      <c r="P36" s="83">
        <v>16797.1</v>
      </c>
      <c r="Q36" s="83">
        <v>0</v>
      </c>
      <c r="R36" s="5"/>
      <c r="S36" s="5">
        <f>62810.3+33381.81</f>
        <v>96192.11</v>
      </c>
      <c r="T36" s="5">
        <f>699808.43+510328.69</f>
        <v>1210137.12</v>
      </c>
      <c r="U36" s="5">
        <f>1904.25+10000.27</f>
        <v>11904.52</v>
      </c>
      <c r="V36" s="5">
        <v>0</v>
      </c>
      <c r="W36" s="5"/>
      <c r="X36" s="5"/>
      <c r="Y36" s="5"/>
      <c r="Z36" s="5"/>
      <c r="AA36" s="5"/>
      <c r="AB36" s="5"/>
    </row>
    <row r="37" spans="1:28" ht="15">
      <c r="A37" s="99">
        <f t="shared" si="7"/>
        <v>21</v>
      </c>
      <c r="B37" s="83" t="s">
        <v>581</v>
      </c>
      <c r="C37" s="83">
        <f t="shared" si="0"/>
        <v>838468.4</v>
      </c>
      <c r="D37" s="83">
        <f t="shared" si="1"/>
        <v>347582.73</v>
      </c>
      <c r="E37" s="83"/>
      <c r="F37" s="83"/>
      <c r="G37" s="83">
        <f t="shared" si="2"/>
        <v>593026</v>
      </c>
      <c r="H37" s="83"/>
      <c r="I37" s="83">
        <f t="shared" si="3"/>
        <v>593025.565</v>
      </c>
      <c r="J37" s="83">
        <f t="shared" si="4"/>
        <v>0</v>
      </c>
      <c r="K37" s="83">
        <f t="shared" si="5"/>
        <v>0</v>
      </c>
      <c r="L37" s="83">
        <f t="shared" si="6"/>
        <v>0</v>
      </c>
      <c r="M37" s="83"/>
      <c r="N37" s="83">
        <v>838468.4</v>
      </c>
      <c r="O37" s="83">
        <v>0</v>
      </c>
      <c r="P37" s="83">
        <v>0</v>
      </c>
      <c r="Q37" s="83">
        <v>0</v>
      </c>
      <c r="R37" s="5"/>
      <c r="S37" s="5">
        <f>171932.07+175650.66</f>
        <v>347582.73</v>
      </c>
      <c r="T37" s="5">
        <v>0</v>
      </c>
      <c r="U37" s="5">
        <v>0</v>
      </c>
      <c r="V37" s="5">
        <v>0</v>
      </c>
      <c r="W37" s="5"/>
      <c r="X37" s="5"/>
      <c r="Y37" s="5"/>
      <c r="Z37" s="5"/>
      <c r="AA37" s="5"/>
      <c r="AB37" s="5"/>
    </row>
    <row r="38" spans="1:28" ht="15">
      <c r="A38" s="99">
        <f t="shared" si="7"/>
        <v>22</v>
      </c>
      <c r="B38" s="83" t="s">
        <v>582</v>
      </c>
      <c r="C38" s="83">
        <f t="shared" si="0"/>
        <v>-120186.5</v>
      </c>
      <c r="D38" s="83">
        <f t="shared" si="1"/>
        <v>439566.72</v>
      </c>
      <c r="E38" s="83"/>
      <c r="F38" s="83"/>
      <c r="G38" s="83">
        <f t="shared" si="2"/>
        <v>159690</v>
      </c>
      <c r="H38" s="83"/>
      <c r="I38" s="83">
        <f t="shared" si="3"/>
        <v>159690.11</v>
      </c>
      <c r="J38" s="83">
        <f t="shared" si="4"/>
        <v>0</v>
      </c>
      <c r="K38" s="83">
        <f t="shared" si="5"/>
        <v>0</v>
      </c>
      <c r="L38" s="83">
        <f t="shared" si="6"/>
        <v>0</v>
      </c>
      <c r="M38" s="83"/>
      <c r="N38" s="83">
        <v>-120186.5</v>
      </c>
      <c r="O38" s="83">
        <v>0</v>
      </c>
      <c r="P38" s="83">
        <v>0</v>
      </c>
      <c r="Q38" s="83">
        <v>0</v>
      </c>
      <c r="R38" s="5"/>
      <c r="S38" s="5">
        <f>263932.93+175633.79</f>
        <v>439566.72</v>
      </c>
      <c r="T38" s="5">
        <v>0</v>
      </c>
      <c r="U38" s="5">
        <v>0</v>
      </c>
      <c r="V38" s="5">
        <v>0</v>
      </c>
      <c r="W38" s="5"/>
      <c r="X38" s="5"/>
      <c r="Y38" s="5"/>
      <c r="Z38" s="5"/>
      <c r="AA38" s="5"/>
      <c r="AB38" s="5"/>
    </row>
    <row r="39" spans="1:28" ht="15">
      <c r="A39" s="99">
        <f t="shared" si="7"/>
        <v>23</v>
      </c>
      <c r="B39" s="83" t="s">
        <v>583</v>
      </c>
      <c r="C39" s="83">
        <f t="shared" si="0"/>
        <v>3017655.88</v>
      </c>
      <c r="D39" s="83">
        <f t="shared" si="1"/>
        <v>4678877.01</v>
      </c>
      <c r="E39" s="83"/>
      <c r="F39" s="83"/>
      <c r="G39" s="83">
        <f t="shared" si="2"/>
        <v>3848266</v>
      </c>
      <c r="H39" s="83"/>
      <c r="I39" s="83">
        <f t="shared" si="3"/>
        <v>0</v>
      </c>
      <c r="J39" s="83">
        <f t="shared" si="4"/>
        <v>0</v>
      </c>
      <c r="K39" s="83">
        <f t="shared" si="5"/>
        <v>3848266.445</v>
      </c>
      <c r="L39" s="83">
        <f t="shared" si="6"/>
        <v>0</v>
      </c>
      <c r="M39" s="83"/>
      <c r="N39" s="83">
        <v>0</v>
      </c>
      <c r="O39" s="83">
        <v>0</v>
      </c>
      <c r="P39" s="83">
        <v>3017655.88</v>
      </c>
      <c r="Q39" s="83">
        <v>0</v>
      </c>
      <c r="R39" s="5"/>
      <c r="S39" s="5">
        <v>0</v>
      </c>
      <c r="T39" s="5">
        <v>0</v>
      </c>
      <c r="U39" s="5">
        <v>4678877.01</v>
      </c>
      <c r="V39" s="5">
        <v>0</v>
      </c>
      <c r="W39" s="5"/>
      <c r="X39" s="5"/>
      <c r="Y39" s="5"/>
      <c r="Z39" s="5"/>
      <c r="AA39" s="5"/>
      <c r="AB39" s="5"/>
    </row>
    <row r="40" spans="1:28" ht="15">
      <c r="A40" s="99">
        <f t="shared" si="7"/>
        <v>24</v>
      </c>
      <c r="B40" s="83" t="s">
        <v>584</v>
      </c>
      <c r="C40" s="83">
        <f t="shared" si="0"/>
        <v>0</v>
      </c>
      <c r="D40" s="83">
        <f t="shared" si="1"/>
        <v>0.08000000000000002</v>
      </c>
      <c r="E40" s="83"/>
      <c r="F40" s="83"/>
      <c r="G40" s="83">
        <f t="shared" si="2"/>
        <v>0</v>
      </c>
      <c r="H40" s="83"/>
      <c r="I40" s="83">
        <f t="shared" si="3"/>
        <v>0</v>
      </c>
      <c r="J40" s="83">
        <f t="shared" si="4"/>
        <v>-0.125</v>
      </c>
      <c r="K40" s="83">
        <f t="shared" si="5"/>
        <v>0.165</v>
      </c>
      <c r="L40" s="83">
        <f t="shared" si="6"/>
        <v>0</v>
      </c>
      <c r="M40" s="83"/>
      <c r="N40" s="83">
        <v>0</v>
      </c>
      <c r="O40" s="83">
        <v>0</v>
      </c>
      <c r="P40" s="83">
        <v>0</v>
      </c>
      <c r="Q40" s="83">
        <v>0</v>
      </c>
      <c r="R40" s="5"/>
      <c r="S40" s="5">
        <v>0</v>
      </c>
      <c r="T40" s="5">
        <v>-0.25</v>
      </c>
      <c r="U40" s="5">
        <v>0.33</v>
      </c>
      <c r="V40" s="5">
        <v>0</v>
      </c>
      <c r="W40" s="5"/>
      <c r="X40" s="5"/>
      <c r="Y40" s="5"/>
      <c r="Z40" s="5"/>
      <c r="AA40" s="5"/>
      <c r="AB40" s="5"/>
    </row>
    <row r="41" spans="1:28" ht="15">
      <c r="A41" s="99">
        <f t="shared" si="7"/>
        <v>25</v>
      </c>
      <c r="B41" s="83" t="s">
        <v>585</v>
      </c>
      <c r="C41" s="83">
        <f t="shared" si="0"/>
        <v>817356.63</v>
      </c>
      <c r="D41" s="83">
        <f t="shared" si="1"/>
        <v>0</v>
      </c>
      <c r="E41" s="83"/>
      <c r="F41" s="83"/>
      <c r="G41" s="83">
        <f t="shared" si="2"/>
        <v>408678</v>
      </c>
      <c r="H41" s="83"/>
      <c r="I41" s="83">
        <f t="shared" si="3"/>
        <v>408678.315</v>
      </c>
      <c r="J41" s="83">
        <f t="shared" si="4"/>
        <v>0</v>
      </c>
      <c r="K41" s="83">
        <f t="shared" si="5"/>
        <v>0</v>
      </c>
      <c r="L41" s="83">
        <f t="shared" si="6"/>
        <v>0</v>
      </c>
      <c r="M41" s="83"/>
      <c r="N41" s="83">
        <v>817356.63</v>
      </c>
      <c r="O41" s="83">
        <v>0</v>
      </c>
      <c r="P41" s="83">
        <v>0</v>
      </c>
      <c r="Q41" s="83">
        <v>0</v>
      </c>
      <c r="R41" s="5"/>
      <c r="S41" s="5">
        <v>0</v>
      </c>
      <c r="T41" s="5">
        <v>0</v>
      </c>
      <c r="U41" s="5">
        <v>0</v>
      </c>
      <c r="V41" s="5">
        <v>0</v>
      </c>
      <c r="W41" s="5"/>
      <c r="X41" s="5"/>
      <c r="Y41" s="5"/>
      <c r="Z41" s="5"/>
      <c r="AA41" s="5"/>
      <c r="AB41" s="5"/>
    </row>
    <row r="42" spans="1:28" ht="15">
      <c r="A42" s="99">
        <f t="shared" si="7"/>
        <v>26</v>
      </c>
      <c r="B42" s="83" t="s">
        <v>165</v>
      </c>
      <c r="C42" s="83">
        <f t="shared" si="0"/>
        <v>1796591.39</v>
      </c>
      <c r="D42" s="83">
        <f t="shared" si="1"/>
        <v>3333975.04</v>
      </c>
      <c r="E42" s="83"/>
      <c r="F42" s="83"/>
      <c r="G42" s="83">
        <f t="shared" si="2"/>
        <v>2565283</v>
      </c>
      <c r="H42" s="83"/>
      <c r="I42" s="83">
        <f t="shared" si="3"/>
        <v>1454348.26</v>
      </c>
      <c r="J42" s="83">
        <f t="shared" si="4"/>
        <v>88763.3</v>
      </c>
      <c r="K42" s="83">
        <f t="shared" si="5"/>
        <v>869815.855</v>
      </c>
      <c r="L42" s="83">
        <f t="shared" si="6"/>
        <v>152355.8</v>
      </c>
      <c r="M42" s="83"/>
      <c r="N42" s="83">
        <v>931467.88</v>
      </c>
      <c r="O42" s="83">
        <v>249868.2</v>
      </c>
      <c r="P42" s="83">
        <v>442099.61</v>
      </c>
      <c r="Q42" s="83">
        <v>173155.7</v>
      </c>
      <c r="R42" s="5"/>
      <c r="S42" s="5">
        <f>1379747.49+597481.15</f>
        <v>1977228.6400000001</v>
      </c>
      <c r="T42" s="5">
        <f>-35154.87-37186.73</f>
        <v>-72341.6</v>
      </c>
      <c r="U42" s="5">
        <f>632358.02+665174.08</f>
        <v>1297532.1</v>
      </c>
      <c r="V42" s="5">
        <v>131555.9</v>
      </c>
      <c r="W42" s="5"/>
      <c r="X42" s="5"/>
      <c r="Y42" s="5"/>
      <c r="Z42" s="5"/>
      <c r="AA42" s="5"/>
      <c r="AB42" s="5"/>
    </row>
    <row r="43" spans="1:28" ht="15">
      <c r="A43" s="99">
        <f t="shared" si="7"/>
        <v>27</v>
      </c>
      <c r="B43" s="83" t="s">
        <v>586</v>
      </c>
      <c r="C43" s="83">
        <f t="shared" si="0"/>
        <v>0</v>
      </c>
      <c r="D43" s="83">
        <f t="shared" si="1"/>
        <v>-7700</v>
      </c>
      <c r="E43" s="83"/>
      <c r="F43" s="83"/>
      <c r="G43" s="83">
        <f t="shared" si="2"/>
        <v>-3850</v>
      </c>
      <c r="H43" s="83"/>
      <c r="I43" s="83">
        <f t="shared" si="3"/>
        <v>-3850</v>
      </c>
      <c r="J43" s="83">
        <f t="shared" si="4"/>
        <v>0</v>
      </c>
      <c r="K43" s="83">
        <f t="shared" si="5"/>
        <v>0</v>
      </c>
      <c r="L43" s="83">
        <f t="shared" si="6"/>
        <v>0</v>
      </c>
      <c r="M43" s="83"/>
      <c r="N43" s="83">
        <v>0</v>
      </c>
      <c r="O43" s="83">
        <v>0</v>
      </c>
      <c r="P43" s="83">
        <v>0</v>
      </c>
      <c r="Q43" s="83">
        <v>0</v>
      </c>
      <c r="R43" s="5"/>
      <c r="S43" s="5">
        <f>-7000-700</f>
        <v>-7700</v>
      </c>
      <c r="T43" s="5">
        <v>0</v>
      </c>
      <c r="U43" s="5">
        <v>0</v>
      </c>
      <c r="V43" s="5">
        <v>0</v>
      </c>
      <c r="W43" s="5"/>
      <c r="X43" s="5"/>
      <c r="Y43" s="5"/>
      <c r="Z43" s="5"/>
      <c r="AA43" s="5"/>
      <c r="AB43" s="5"/>
    </row>
    <row r="44" spans="1:28" ht="15">
      <c r="A44" s="99">
        <f t="shared" si="7"/>
        <v>28</v>
      </c>
      <c r="B44" s="83" t="s">
        <v>167</v>
      </c>
      <c r="C44" s="83">
        <f t="shared" si="0"/>
        <v>5316322.37</v>
      </c>
      <c r="D44" s="83">
        <f t="shared" si="1"/>
        <v>5141260.97</v>
      </c>
      <c r="E44" s="83"/>
      <c r="F44" s="83"/>
      <c r="G44" s="83">
        <f t="shared" si="2"/>
        <v>5228792</v>
      </c>
      <c r="H44" s="83"/>
      <c r="I44" s="83">
        <f t="shared" si="3"/>
        <v>2328697.7700000005</v>
      </c>
      <c r="J44" s="83">
        <f t="shared" si="4"/>
        <v>403129.625</v>
      </c>
      <c r="K44" s="83">
        <f t="shared" si="5"/>
        <v>2356544.085</v>
      </c>
      <c r="L44" s="83">
        <f t="shared" si="6"/>
        <v>140420.19</v>
      </c>
      <c r="M44" s="83"/>
      <c r="N44" s="83">
        <v>2127940.22</v>
      </c>
      <c r="O44" s="83">
        <v>427382.28</v>
      </c>
      <c r="P44" s="83">
        <v>2615858.38</v>
      </c>
      <c r="Q44" s="83">
        <v>145141.49</v>
      </c>
      <c r="R44" s="5"/>
      <c r="S44" s="5">
        <f>1709874.08+819581.24</f>
        <v>2529455.3200000003</v>
      </c>
      <c r="T44" s="5">
        <f>294860.31+84016.96-0.3</f>
        <v>378876.97000000003</v>
      </c>
      <c r="U44" s="5">
        <f>1046981.16+1050248.63</f>
        <v>2097229.79</v>
      </c>
      <c r="V44" s="5">
        <v>135698.89</v>
      </c>
      <c r="W44" s="5"/>
      <c r="X44" s="5"/>
      <c r="Y44" s="5"/>
      <c r="Z44" s="5"/>
      <c r="AA44" s="5"/>
      <c r="AB44" s="5"/>
    </row>
    <row r="45" spans="1:28" ht="15">
      <c r="A45" s="99">
        <f t="shared" si="7"/>
        <v>29</v>
      </c>
      <c r="B45" s="83" t="s">
        <v>168</v>
      </c>
      <c r="C45" s="83">
        <f t="shared" si="0"/>
        <v>34618.649999999994</v>
      </c>
      <c r="D45" s="83">
        <f t="shared" si="1"/>
        <v>0</v>
      </c>
      <c r="E45" s="83"/>
      <c r="F45" s="83"/>
      <c r="G45" s="83">
        <f t="shared" si="2"/>
        <v>17309</v>
      </c>
      <c r="H45" s="83"/>
      <c r="I45" s="83">
        <f t="shared" si="3"/>
        <v>10525.175</v>
      </c>
      <c r="J45" s="83">
        <f t="shared" si="4"/>
        <v>0</v>
      </c>
      <c r="K45" s="83">
        <f t="shared" si="5"/>
        <v>6784.15</v>
      </c>
      <c r="L45" s="83">
        <f t="shared" si="6"/>
        <v>0</v>
      </c>
      <c r="M45" s="83"/>
      <c r="N45" s="83">
        <v>21050.35</v>
      </c>
      <c r="O45" s="83">
        <v>0</v>
      </c>
      <c r="P45" s="83">
        <v>13568.3</v>
      </c>
      <c r="Q45" s="83">
        <v>0</v>
      </c>
      <c r="R45" s="5"/>
      <c r="S45" s="5">
        <v>0</v>
      </c>
      <c r="T45" s="5">
        <v>0</v>
      </c>
      <c r="U45" s="5">
        <v>0</v>
      </c>
      <c r="V45" s="5">
        <v>0</v>
      </c>
      <c r="W45" s="5"/>
      <c r="X45" s="5"/>
      <c r="Y45" s="5"/>
      <c r="Z45" s="5"/>
      <c r="AA45" s="5"/>
      <c r="AB45" s="5"/>
    </row>
    <row r="46" spans="1:28" ht="15">
      <c r="A46" s="99">
        <f t="shared" si="7"/>
        <v>30</v>
      </c>
      <c r="B46" s="83" t="s">
        <v>587</v>
      </c>
      <c r="C46" s="83">
        <f t="shared" si="0"/>
        <v>4427430</v>
      </c>
      <c r="D46" s="83">
        <f t="shared" si="1"/>
        <v>0</v>
      </c>
      <c r="E46" s="83"/>
      <c r="F46" s="83"/>
      <c r="G46" s="83">
        <f t="shared" si="2"/>
        <v>2213715</v>
      </c>
      <c r="H46" s="83"/>
      <c r="I46" s="83">
        <f t="shared" si="3"/>
        <v>0</v>
      </c>
      <c r="J46" s="83">
        <f t="shared" si="4"/>
        <v>0</v>
      </c>
      <c r="K46" s="83">
        <f t="shared" si="5"/>
        <v>2213715</v>
      </c>
      <c r="L46" s="83">
        <f t="shared" si="6"/>
        <v>0</v>
      </c>
      <c r="M46" s="83"/>
      <c r="N46" s="83">
        <v>0</v>
      </c>
      <c r="O46" s="83">
        <v>0</v>
      </c>
      <c r="P46" s="83">
        <v>4427430</v>
      </c>
      <c r="Q46" s="83">
        <v>0</v>
      </c>
      <c r="R46" s="5"/>
      <c r="S46" s="5">
        <v>0</v>
      </c>
      <c r="T46" s="5">
        <v>0</v>
      </c>
      <c r="U46" s="5">
        <v>0</v>
      </c>
      <c r="V46" s="5">
        <v>0</v>
      </c>
      <c r="W46" s="5"/>
      <c r="X46" s="5"/>
      <c r="Y46" s="5"/>
      <c r="Z46" s="5"/>
      <c r="AA46" s="5"/>
      <c r="AB46" s="5"/>
    </row>
    <row r="47" spans="1:28" ht="15">
      <c r="A47" s="99">
        <f t="shared" si="7"/>
        <v>31</v>
      </c>
      <c r="B47" s="83" t="s">
        <v>588</v>
      </c>
      <c r="C47" s="83">
        <f t="shared" si="0"/>
        <v>1400000</v>
      </c>
      <c r="D47" s="83">
        <f t="shared" si="1"/>
        <v>0</v>
      </c>
      <c r="E47" s="83"/>
      <c r="F47" s="83"/>
      <c r="G47" s="83">
        <f t="shared" si="2"/>
        <v>700000</v>
      </c>
      <c r="H47" s="83"/>
      <c r="I47" s="83">
        <f t="shared" si="3"/>
        <v>0</v>
      </c>
      <c r="J47" s="83">
        <f t="shared" si="4"/>
        <v>0</v>
      </c>
      <c r="K47" s="83">
        <f t="shared" si="5"/>
        <v>700000</v>
      </c>
      <c r="L47" s="83">
        <f t="shared" si="6"/>
        <v>0</v>
      </c>
      <c r="M47" s="83"/>
      <c r="N47" s="83">
        <v>0</v>
      </c>
      <c r="O47" s="83">
        <v>0</v>
      </c>
      <c r="P47" s="83">
        <v>1400000</v>
      </c>
      <c r="Q47" s="83">
        <v>0</v>
      </c>
      <c r="R47" s="5"/>
      <c r="S47" s="5">
        <v>0</v>
      </c>
      <c r="T47" s="5">
        <v>0</v>
      </c>
      <c r="U47" s="5">
        <v>0</v>
      </c>
      <c r="V47" s="5">
        <v>0</v>
      </c>
      <c r="W47" s="5"/>
      <c r="X47" s="5"/>
      <c r="Y47" s="5"/>
      <c r="Z47" s="5"/>
      <c r="AA47" s="5"/>
      <c r="AB47" s="5"/>
    </row>
    <row r="48" spans="1:28" ht="15">
      <c r="A48" s="99">
        <f t="shared" si="7"/>
        <v>32</v>
      </c>
      <c r="B48" s="83" t="s">
        <v>589</v>
      </c>
      <c r="C48" s="83">
        <f t="shared" si="0"/>
        <v>5979050</v>
      </c>
      <c r="D48" s="83">
        <f t="shared" si="1"/>
        <v>0</v>
      </c>
      <c r="E48" s="83"/>
      <c r="F48" s="83"/>
      <c r="G48" s="83">
        <f t="shared" si="2"/>
        <v>2989525</v>
      </c>
      <c r="H48" s="83"/>
      <c r="I48" s="83">
        <f t="shared" si="3"/>
        <v>0</v>
      </c>
      <c r="J48" s="83">
        <f t="shared" si="4"/>
        <v>0</v>
      </c>
      <c r="K48" s="83">
        <f t="shared" si="5"/>
        <v>2989525</v>
      </c>
      <c r="L48" s="83">
        <f t="shared" si="6"/>
        <v>0</v>
      </c>
      <c r="M48" s="83"/>
      <c r="N48" s="83">
        <v>0</v>
      </c>
      <c r="O48" s="83">
        <v>0</v>
      </c>
      <c r="P48" s="83">
        <v>5979050</v>
      </c>
      <c r="Q48" s="83">
        <v>0</v>
      </c>
      <c r="R48" s="5"/>
      <c r="S48" s="5">
        <v>0</v>
      </c>
      <c r="T48" s="5">
        <v>0</v>
      </c>
      <c r="U48" s="5">
        <v>0</v>
      </c>
      <c r="V48" s="5">
        <v>0</v>
      </c>
      <c r="W48" s="5"/>
      <c r="X48" s="5"/>
      <c r="Y48" s="5"/>
      <c r="Z48" s="5"/>
      <c r="AA48" s="5"/>
      <c r="AB48" s="5"/>
    </row>
    <row r="49" spans="1:28" ht="15">
      <c r="A49" s="99">
        <f t="shared" si="7"/>
        <v>33</v>
      </c>
      <c r="B49" s="83" t="s">
        <v>590</v>
      </c>
      <c r="C49" s="83">
        <f aca="true" t="shared" si="8" ref="C49:C80">SUM(N49:Q49)</f>
        <v>1750000</v>
      </c>
      <c r="D49" s="83">
        <f aca="true" t="shared" si="9" ref="D49:D80">SUM(S49:V49)</f>
        <v>0</v>
      </c>
      <c r="E49" s="83"/>
      <c r="F49" s="83"/>
      <c r="G49" s="83">
        <f aca="true" t="shared" si="10" ref="G49:G80">ROUND(SUM(C49:F49)/2,0)</f>
        <v>875000</v>
      </c>
      <c r="H49" s="83"/>
      <c r="I49" s="83">
        <f aca="true" t="shared" si="11" ref="I49:I80">(+N49+S49)/2</f>
        <v>0</v>
      </c>
      <c r="J49" s="83">
        <f aca="true" t="shared" si="12" ref="J49:J80">(+O49+T49)/2</f>
        <v>0</v>
      </c>
      <c r="K49" s="83">
        <f aca="true" t="shared" si="13" ref="K49:K80">(+P49+U49)/2</f>
        <v>875000</v>
      </c>
      <c r="L49" s="83">
        <f aca="true" t="shared" si="14" ref="L49:L80">(+Q49+V49)/2</f>
        <v>0</v>
      </c>
      <c r="M49" s="83"/>
      <c r="N49" s="83">
        <v>0</v>
      </c>
      <c r="O49" s="83">
        <v>0</v>
      </c>
      <c r="P49" s="83">
        <v>1750000</v>
      </c>
      <c r="Q49" s="83">
        <v>0</v>
      </c>
      <c r="R49" s="5"/>
      <c r="S49" s="5">
        <v>0</v>
      </c>
      <c r="T49" s="5">
        <v>0</v>
      </c>
      <c r="U49" s="5">
        <v>0</v>
      </c>
      <c r="V49" s="5">
        <v>0</v>
      </c>
      <c r="W49" s="5"/>
      <c r="X49" s="5"/>
      <c r="Y49" s="5"/>
      <c r="Z49" s="5"/>
      <c r="AA49" s="5"/>
      <c r="AB49" s="5"/>
    </row>
    <row r="50" spans="1:28" ht="15">
      <c r="A50" s="99">
        <f aca="true" t="shared" si="15" ref="A50:A81">+A49+1</f>
        <v>34</v>
      </c>
      <c r="B50" s="83" t="s">
        <v>344</v>
      </c>
      <c r="C50" s="83">
        <f t="shared" si="8"/>
        <v>0</v>
      </c>
      <c r="D50" s="83">
        <f t="shared" si="9"/>
        <v>-1</v>
      </c>
      <c r="E50" s="83"/>
      <c r="F50" s="83"/>
      <c r="G50" s="83">
        <f t="shared" si="10"/>
        <v>-1</v>
      </c>
      <c r="H50" s="83"/>
      <c r="I50" s="83">
        <f t="shared" si="11"/>
        <v>0</v>
      </c>
      <c r="J50" s="83">
        <f t="shared" si="12"/>
        <v>0</v>
      </c>
      <c r="K50" s="83">
        <f t="shared" si="13"/>
        <v>-0.5</v>
      </c>
      <c r="L50" s="83">
        <f t="shared" si="14"/>
        <v>0</v>
      </c>
      <c r="M50" s="83"/>
      <c r="N50" s="83">
        <v>0</v>
      </c>
      <c r="O50" s="83">
        <v>0</v>
      </c>
      <c r="P50" s="83">
        <v>0</v>
      </c>
      <c r="Q50" s="83">
        <v>0</v>
      </c>
      <c r="R50" s="5"/>
      <c r="S50" s="5">
        <v>0</v>
      </c>
      <c r="T50" s="5">
        <v>0</v>
      </c>
      <c r="U50" s="5">
        <v>-1</v>
      </c>
      <c r="V50" s="5">
        <v>0</v>
      </c>
      <c r="W50" s="5"/>
      <c r="X50" s="5"/>
      <c r="Y50" s="5"/>
      <c r="Z50" s="5"/>
      <c r="AA50" s="5"/>
      <c r="AB50" s="5"/>
    </row>
    <row r="51" spans="1:28" ht="15">
      <c r="A51" s="99">
        <f t="shared" si="15"/>
        <v>35</v>
      </c>
      <c r="B51" s="83" t="s">
        <v>421</v>
      </c>
      <c r="C51" s="83">
        <f t="shared" si="8"/>
        <v>0</v>
      </c>
      <c r="D51" s="83">
        <f t="shared" si="9"/>
        <v>657909.01</v>
      </c>
      <c r="E51" s="83"/>
      <c r="F51" s="83"/>
      <c r="G51" s="83">
        <f t="shared" si="10"/>
        <v>328955</v>
      </c>
      <c r="H51" s="83"/>
      <c r="I51" s="83">
        <f t="shared" si="11"/>
        <v>205135.58</v>
      </c>
      <c r="J51" s="83">
        <f t="shared" si="12"/>
        <v>11706.575</v>
      </c>
      <c r="K51" s="83">
        <f t="shared" si="13"/>
        <v>112112.35</v>
      </c>
      <c r="L51" s="83">
        <f t="shared" si="14"/>
        <v>0</v>
      </c>
      <c r="M51" s="83"/>
      <c r="N51" s="83">
        <v>0</v>
      </c>
      <c r="O51" s="83">
        <v>0</v>
      </c>
      <c r="P51" s="83">
        <v>0</v>
      </c>
      <c r="Q51" s="83">
        <v>0</v>
      </c>
      <c r="R51" s="5"/>
      <c r="S51" s="5">
        <v>410271.16</v>
      </c>
      <c r="T51" s="5">
        <v>23413.15</v>
      </c>
      <c r="U51" s="5">
        <f>45776.72+0.25+178447.73</f>
        <v>224224.7</v>
      </c>
      <c r="V51" s="5">
        <v>0</v>
      </c>
      <c r="W51" s="5"/>
      <c r="X51" s="5"/>
      <c r="Y51" s="5"/>
      <c r="Z51" s="5"/>
      <c r="AA51" s="5"/>
      <c r="AB51" s="5"/>
    </row>
    <row r="52" spans="1:28" ht="15">
      <c r="A52" s="99">
        <f t="shared" si="15"/>
        <v>36</v>
      </c>
      <c r="B52" s="83" t="s">
        <v>591</v>
      </c>
      <c r="C52" s="83">
        <f t="shared" si="8"/>
        <v>209039.69</v>
      </c>
      <c r="D52" s="83">
        <f t="shared" si="9"/>
        <v>260225.09</v>
      </c>
      <c r="E52" s="83"/>
      <c r="F52" s="83"/>
      <c r="G52" s="83">
        <f t="shared" si="10"/>
        <v>234632</v>
      </c>
      <c r="H52" s="83"/>
      <c r="I52" s="83">
        <f t="shared" si="11"/>
        <v>0</v>
      </c>
      <c r="J52" s="83">
        <f t="shared" si="12"/>
        <v>0</v>
      </c>
      <c r="K52" s="83">
        <f t="shared" si="13"/>
        <v>0</v>
      </c>
      <c r="L52" s="83">
        <f t="shared" si="14"/>
        <v>234632.39</v>
      </c>
      <c r="M52" s="83"/>
      <c r="N52" s="83">
        <v>0</v>
      </c>
      <c r="O52" s="83">
        <v>0</v>
      </c>
      <c r="P52" s="83">
        <v>0</v>
      </c>
      <c r="Q52" s="83">
        <v>209039.69</v>
      </c>
      <c r="R52" s="5"/>
      <c r="S52" s="5">
        <v>0</v>
      </c>
      <c r="T52" s="5">
        <v>0</v>
      </c>
      <c r="U52" s="5">
        <v>0</v>
      </c>
      <c r="V52" s="5">
        <v>260225.09</v>
      </c>
      <c r="W52" s="5"/>
      <c r="X52" s="5"/>
      <c r="Y52" s="5"/>
      <c r="Z52" s="5"/>
      <c r="AA52" s="5"/>
      <c r="AB52" s="5"/>
    </row>
    <row r="53" spans="1:28" ht="15">
      <c r="A53" s="99">
        <f t="shared" si="15"/>
        <v>37</v>
      </c>
      <c r="B53" s="83" t="s">
        <v>170</v>
      </c>
      <c r="C53" s="83">
        <f t="shared" si="8"/>
        <v>0</v>
      </c>
      <c r="D53" s="83">
        <f t="shared" si="9"/>
        <v>-0.8699999999999999</v>
      </c>
      <c r="E53" s="83"/>
      <c r="F53" s="83"/>
      <c r="G53" s="83">
        <f t="shared" si="10"/>
        <v>0</v>
      </c>
      <c r="H53" s="83"/>
      <c r="I53" s="83">
        <f t="shared" si="11"/>
        <v>-0.15</v>
      </c>
      <c r="J53" s="83">
        <f t="shared" si="12"/>
        <v>-0.18</v>
      </c>
      <c r="K53" s="83">
        <f t="shared" si="13"/>
        <v>-0.105</v>
      </c>
      <c r="L53" s="83">
        <f t="shared" si="14"/>
        <v>0</v>
      </c>
      <c r="M53" s="83"/>
      <c r="N53" s="83">
        <f>-8090+8090</f>
        <v>0</v>
      </c>
      <c r="O53" s="83">
        <f>-3025+3025</f>
        <v>0</v>
      </c>
      <c r="P53" s="83">
        <f>-5442+5442</f>
        <v>0</v>
      </c>
      <c r="Q53" s="83">
        <v>0</v>
      </c>
      <c r="R53" s="5"/>
      <c r="S53" s="5">
        <f>-0.15-0.15</f>
        <v>-0.3</v>
      </c>
      <c r="T53" s="5">
        <f>-0.21-0.15</f>
        <v>-0.36</v>
      </c>
      <c r="U53" s="5">
        <v>-0.21</v>
      </c>
      <c r="V53" s="5">
        <v>0</v>
      </c>
      <c r="W53" s="5"/>
      <c r="X53" s="5"/>
      <c r="Y53" s="5"/>
      <c r="Z53" s="5"/>
      <c r="AA53" s="5"/>
      <c r="AB53" s="5"/>
    </row>
    <row r="54" spans="1:28" ht="15">
      <c r="A54" s="99">
        <f t="shared" si="15"/>
        <v>38</v>
      </c>
      <c r="B54" s="83" t="s">
        <v>592</v>
      </c>
      <c r="C54" s="83">
        <f t="shared" si="8"/>
        <v>-123720.05000000008</v>
      </c>
      <c r="D54" s="83">
        <f t="shared" si="9"/>
        <v>515291.85000000003</v>
      </c>
      <c r="E54" s="83"/>
      <c r="F54" s="83"/>
      <c r="G54" s="83">
        <f t="shared" si="10"/>
        <v>195786</v>
      </c>
      <c r="H54" s="83"/>
      <c r="I54" s="83">
        <f t="shared" si="11"/>
        <v>-57886.00000000003</v>
      </c>
      <c r="J54" s="83">
        <f t="shared" si="12"/>
        <v>136719.3</v>
      </c>
      <c r="K54" s="83">
        <f t="shared" si="13"/>
        <v>116632.52500000002</v>
      </c>
      <c r="L54" s="83">
        <f t="shared" si="14"/>
        <v>320.075</v>
      </c>
      <c r="M54" s="83"/>
      <c r="N54" s="83">
        <f>-1212899.1+1032413</f>
        <v>-180486.1000000001</v>
      </c>
      <c r="O54" s="83">
        <f>-189381.25+244568</f>
        <v>55186.75</v>
      </c>
      <c r="P54" s="83">
        <f>-639737.35+641506</f>
        <v>1768.6500000000233</v>
      </c>
      <c r="Q54" s="83">
        <v>-189.35</v>
      </c>
      <c r="R54" s="5"/>
      <c r="S54" s="5">
        <f>-883628.2+781189+167153.3</f>
        <v>64714.100000000035</v>
      </c>
      <c r="T54" s="5">
        <f>-207356.45+222299+203309.3</f>
        <v>218251.84999999998</v>
      </c>
      <c r="U54" s="5">
        <f>-391711.6+596432+26776</f>
        <v>231496.40000000002</v>
      </c>
      <c r="V54" s="5">
        <v>829.5</v>
      </c>
      <c r="W54" s="5"/>
      <c r="X54" s="5"/>
      <c r="Y54" s="5"/>
      <c r="Z54" s="5"/>
      <c r="AA54" s="5"/>
      <c r="AB54" s="5"/>
    </row>
    <row r="55" spans="1:28" ht="15">
      <c r="A55" s="99">
        <f t="shared" si="15"/>
        <v>39</v>
      </c>
      <c r="B55" s="83" t="s">
        <v>593</v>
      </c>
      <c r="C55" s="83">
        <f t="shared" si="8"/>
        <v>-91186.15000000004</v>
      </c>
      <c r="D55" s="83">
        <f t="shared" si="9"/>
        <v>97689.64999999986</v>
      </c>
      <c r="E55" s="83"/>
      <c r="F55" s="83"/>
      <c r="G55" s="83">
        <f t="shared" si="10"/>
        <v>3252</v>
      </c>
      <c r="H55" s="83"/>
      <c r="I55" s="83">
        <f t="shared" si="11"/>
        <v>285932.2749999999</v>
      </c>
      <c r="J55" s="83">
        <f t="shared" si="12"/>
        <v>-192418.825</v>
      </c>
      <c r="K55" s="83">
        <f t="shared" si="13"/>
        <v>-89090.07499999998</v>
      </c>
      <c r="L55" s="83">
        <f t="shared" si="14"/>
        <v>-1171.625</v>
      </c>
      <c r="M55" s="83"/>
      <c r="N55" s="83">
        <f>-761465.55+663157</f>
        <v>-98308.55000000005</v>
      </c>
      <c r="O55" s="83">
        <f>-366784.7+278792</f>
        <v>-87992.70000000001</v>
      </c>
      <c r="P55" s="83">
        <f>-532819.35+627967</f>
        <v>95147.65000000002</v>
      </c>
      <c r="Q55" s="83">
        <v>-32.55</v>
      </c>
      <c r="R55" s="5"/>
      <c r="S55" s="5">
        <f>981245.65+316716-627788.55</f>
        <v>670173.0999999999</v>
      </c>
      <c r="T55" s="5">
        <f>-188102.25+105572-214314.7</f>
        <v>-296844.95</v>
      </c>
      <c r="U55" s="5">
        <f>-452105.85+281526-102747.95</f>
        <v>-273327.8</v>
      </c>
      <c r="V55" s="5">
        <v>-2310.7</v>
      </c>
      <c r="W55" s="5"/>
      <c r="X55" s="5"/>
      <c r="Y55" s="5"/>
      <c r="Z55" s="5"/>
      <c r="AA55" s="5"/>
      <c r="AB55" s="5"/>
    </row>
    <row r="56" spans="1:28" ht="15">
      <c r="A56" s="99">
        <f t="shared" si="15"/>
        <v>40</v>
      </c>
      <c r="B56" s="83" t="s">
        <v>173</v>
      </c>
      <c r="C56" s="83">
        <f t="shared" si="8"/>
        <v>-1127224.6</v>
      </c>
      <c r="D56" s="83">
        <f t="shared" si="9"/>
        <v>-1391301.09</v>
      </c>
      <c r="E56" s="83"/>
      <c r="F56" s="83"/>
      <c r="G56" s="83">
        <f t="shared" si="10"/>
        <v>-1259263</v>
      </c>
      <c r="H56" s="83"/>
      <c r="I56" s="83">
        <f t="shared" si="11"/>
        <v>-1126371.275</v>
      </c>
      <c r="J56" s="83">
        <f t="shared" si="12"/>
        <v>-54299.525</v>
      </c>
      <c r="K56" s="83">
        <f t="shared" si="13"/>
        <v>-78592.045</v>
      </c>
      <c r="L56" s="83">
        <f t="shared" si="14"/>
        <v>0</v>
      </c>
      <c r="M56" s="83"/>
      <c r="N56" s="83">
        <v>-1127246</v>
      </c>
      <c r="O56" s="83">
        <v>0</v>
      </c>
      <c r="P56" s="83">
        <v>21.4</v>
      </c>
      <c r="Q56" s="83">
        <v>0</v>
      </c>
      <c r="R56" s="5"/>
      <c r="S56" s="5">
        <f>-1127246+1749.45</f>
        <v>-1125496.55</v>
      </c>
      <c r="T56" s="5">
        <f>-110103.7+1504.65</f>
        <v>-108599.05</v>
      </c>
      <c r="U56" s="5">
        <f>-158550.24+1344.75</f>
        <v>-157205.49</v>
      </c>
      <c r="V56" s="5">
        <v>0</v>
      </c>
      <c r="W56" s="5"/>
      <c r="X56" s="5"/>
      <c r="Y56" s="5"/>
      <c r="Z56" s="5"/>
      <c r="AA56" s="5"/>
      <c r="AB56" s="5"/>
    </row>
    <row r="57" spans="1:28" ht="15">
      <c r="A57" s="99">
        <f t="shared" si="15"/>
        <v>41</v>
      </c>
      <c r="B57" s="83" t="s">
        <v>175</v>
      </c>
      <c r="C57" s="83">
        <f t="shared" si="8"/>
        <v>0</v>
      </c>
      <c r="D57" s="83">
        <f t="shared" si="9"/>
        <v>138870.12</v>
      </c>
      <c r="E57" s="83"/>
      <c r="F57" s="83"/>
      <c r="G57" s="83">
        <f t="shared" si="10"/>
        <v>69435</v>
      </c>
      <c r="H57" s="83"/>
      <c r="I57" s="83">
        <f t="shared" si="11"/>
        <v>0</v>
      </c>
      <c r="J57" s="83">
        <f t="shared" si="12"/>
        <v>69435.06</v>
      </c>
      <c r="K57" s="83">
        <f t="shared" si="13"/>
        <v>0</v>
      </c>
      <c r="L57" s="83">
        <f t="shared" si="14"/>
        <v>0</v>
      </c>
      <c r="M57" s="83"/>
      <c r="N57" s="83">
        <v>0</v>
      </c>
      <c r="O57" s="83">
        <v>0</v>
      </c>
      <c r="P57" s="83">
        <v>0</v>
      </c>
      <c r="Q57" s="83">
        <v>0</v>
      </c>
      <c r="R57" s="5"/>
      <c r="S57" s="5">
        <v>0</v>
      </c>
      <c r="T57" s="5">
        <f>138870.56-0.44</f>
        <v>138870.12</v>
      </c>
      <c r="U57" s="5">
        <v>0</v>
      </c>
      <c r="V57" s="5">
        <v>0</v>
      </c>
      <c r="W57" s="5"/>
      <c r="X57" s="5"/>
      <c r="Y57" s="5"/>
      <c r="Z57" s="5"/>
      <c r="AA57" s="5"/>
      <c r="AB57" s="5"/>
    </row>
    <row r="58" spans="1:28" ht="15">
      <c r="A58" s="99">
        <f t="shared" si="15"/>
        <v>42</v>
      </c>
      <c r="B58" s="83" t="s">
        <v>594</v>
      </c>
      <c r="C58" s="83">
        <f t="shared" si="8"/>
        <v>145104.78</v>
      </c>
      <c r="D58" s="83">
        <f t="shared" si="9"/>
        <v>2216473.16</v>
      </c>
      <c r="E58" s="83"/>
      <c r="F58" s="83"/>
      <c r="G58" s="83">
        <f t="shared" si="10"/>
        <v>1180789</v>
      </c>
      <c r="H58" s="83"/>
      <c r="I58" s="83">
        <f t="shared" si="11"/>
        <v>0</v>
      </c>
      <c r="J58" s="83">
        <f t="shared" si="12"/>
        <v>0</v>
      </c>
      <c r="K58" s="83">
        <f t="shared" si="13"/>
        <v>1180788.97</v>
      </c>
      <c r="L58" s="83">
        <f t="shared" si="14"/>
        <v>0</v>
      </c>
      <c r="M58" s="83"/>
      <c r="N58" s="83">
        <v>0</v>
      </c>
      <c r="O58" s="83">
        <v>0</v>
      </c>
      <c r="P58" s="83">
        <v>145104.78</v>
      </c>
      <c r="Q58" s="83">
        <v>0</v>
      </c>
      <c r="R58" s="5"/>
      <c r="S58" s="5">
        <v>0</v>
      </c>
      <c r="T58" s="5">
        <v>0</v>
      </c>
      <c r="U58" s="5">
        <f>775340.58+1441132.58</f>
        <v>2216473.16</v>
      </c>
      <c r="V58" s="5">
        <v>0</v>
      </c>
      <c r="W58" s="5"/>
      <c r="X58" s="5"/>
      <c r="Y58" s="5"/>
      <c r="Z58" s="5"/>
      <c r="AA58" s="5"/>
      <c r="AB58" s="5"/>
    </row>
    <row r="59" spans="1:28" ht="15">
      <c r="A59" s="99">
        <f t="shared" si="15"/>
        <v>43</v>
      </c>
      <c r="B59" s="83" t="s">
        <v>174</v>
      </c>
      <c r="C59" s="83">
        <f t="shared" si="8"/>
        <v>0</v>
      </c>
      <c r="D59" s="83">
        <f t="shared" si="9"/>
        <v>0.56</v>
      </c>
      <c r="E59" s="83"/>
      <c r="F59" s="83"/>
      <c r="G59" s="83">
        <f t="shared" si="10"/>
        <v>0</v>
      </c>
      <c r="H59" s="83"/>
      <c r="I59" s="83">
        <f t="shared" si="11"/>
        <v>0.28</v>
      </c>
      <c r="J59" s="83">
        <f t="shared" si="12"/>
        <v>0</v>
      </c>
      <c r="K59" s="83">
        <f t="shared" si="13"/>
        <v>0</v>
      </c>
      <c r="L59" s="83">
        <f t="shared" si="14"/>
        <v>0</v>
      </c>
      <c r="M59" s="83"/>
      <c r="N59" s="83">
        <v>0</v>
      </c>
      <c r="O59" s="83">
        <v>0</v>
      </c>
      <c r="P59" s="83">
        <v>0</v>
      </c>
      <c r="Q59" s="83">
        <v>0</v>
      </c>
      <c r="R59" s="5"/>
      <c r="S59" s="5">
        <v>0.56</v>
      </c>
      <c r="T59" s="5">
        <v>0</v>
      </c>
      <c r="U59" s="5">
        <v>0</v>
      </c>
      <c r="V59" s="5">
        <v>0</v>
      </c>
      <c r="W59" s="5"/>
      <c r="X59" s="5"/>
      <c r="Y59" s="5"/>
      <c r="Z59" s="5"/>
      <c r="AA59" s="5"/>
      <c r="AB59" s="5"/>
    </row>
    <row r="60" spans="1:28" ht="15">
      <c r="A60" s="99">
        <f t="shared" si="15"/>
        <v>44</v>
      </c>
      <c r="B60" s="83" t="s">
        <v>595</v>
      </c>
      <c r="C60" s="83">
        <f t="shared" si="8"/>
        <v>1887333</v>
      </c>
      <c r="D60" s="83">
        <f t="shared" si="9"/>
        <v>1887333</v>
      </c>
      <c r="E60" s="83"/>
      <c r="F60" s="83"/>
      <c r="G60" s="83">
        <f t="shared" si="10"/>
        <v>1887333</v>
      </c>
      <c r="H60" s="83"/>
      <c r="I60" s="83">
        <f t="shared" si="11"/>
        <v>1887333</v>
      </c>
      <c r="J60" s="83">
        <f t="shared" si="12"/>
        <v>0</v>
      </c>
      <c r="K60" s="83">
        <f t="shared" si="13"/>
        <v>0</v>
      </c>
      <c r="L60" s="83">
        <f t="shared" si="14"/>
        <v>0</v>
      </c>
      <c r="M60" s="83"/>
      <c r="N60" s="83">
        <v>1887333</v>
      </c>
      <c r="O60" s="83">
        <v>0</v>
      </c>
      <c r="P60" s="83">
        <v>0</v>
      </c>
      <c r="Q60" s="83">
        <v>0</v>
      </c>
      <c r="R60" s="5"/>
      <c r="S60" s="5">
        <v>1887333</v>
      </c>
      <c r="T60" s="5">
        <v>0</v>
      </c>
      <c r="U60" s="5">
        <v>0</v>
      </c>
      <c r="V60" s="5">
        <v>0</v>
      </c>
      <c r="W60" s="5"/>
      <c r="X60" s="5"/>
      <c r="Y60" s="5"/>
      <c r="Z60" s="5"/>
      <c r="AA60" s="5"/>
      <c r="AB60" s="5"/>
    </row>
    <row r="61" spans="1:28" ht="15">
      <c r="A61" s="99">
        <f t="shared" si="15"/>
        <v>45</v>
      </c>
      <c r="B61" s="83" t="s">
        <v>596</v>
      </c>
      <c r="C61" s="83">
        <f t="shared" si="8"/>
        <v>1111659.17</v>
      </c>
      <c r="D61" s="83">
        <f t="shared" si="9"/>
        <v>1656314.2000000002</v>
      </c>
      <c r="E61" s="83"/>
      <c r="F61" s="83"/>
      <c r="G61" s="83">
        <f t="shared" si="10"/>
        <v>1383987</v>
      </c>
      <c r="H61" s="83"/>
      <c r="I61" s="83">
        <f t="shared" si="11"/>
        <v>1395212.27</v>
      </c>
      <c r="J61" s="83">
        <f t="shared" si="12"/>
        <v>-11225.585</v>
      </c>
      <c r="K61" s="83">
        <f t="shared" si="13"/>
        <v>0</v>
      </c>
      <c r="L61" s="83">
        <f t="shared" si="14"/>
        <v>0</v>
      </c>
      <c r="M61" s="83"/>
      <c r="N61" s="83">
        <v>1123013.94</v>
      </c>
      <c r="O61" s="83">
        <v>-11354.77</v>
      </c>
      <c r="P61" s="83">
        <v>0</v>
      </c>
      <c r="Q61" s="83">
        <v>0</v>
      </c>
      <c r="R61" s="5"/>
      <c r="S61" s="5">
        <v>1667410.6</v>
      </c>
      <c r="T61" s="5">
        <v>-11096.4</v>
      </c>
      <c r="U61" s="5">
        <v>0</v>
      </c>
      <c r="V61" s="5">
        <v>0</v>
      </c>
      <c r="W61" s="5"/>
      <c r="X61" s="5"/>
      <c r="Y61" s="5"/>
      <c r="Z61" s="5"/>
      <c r="AA61" s="5"/>
      <c r="AB61" s="5"/>
    </row>
    <row r="62" spans="1:28" ht="15">
      <c r="A62" s="99">
        <f t="shared" si="15"/>
        <v>46</v>
      </c>
      <c r="B62" s="83" t="s">
        <v>177</v>
      </c>
      <c r="C62" s="83">
        <f t="shared" si="8"/>
        <v>2955144.79</v>
      </c>
      <c r="D62" s="83">
        <f t="shared" si="9"/>
        <v>3407892.08</v>
      </c>
      <c r="E62" s="83"/>
      <c r="F62" s="83"/>
      <c r="G62" s="83">
        <f t="shared" si="10"/>
        <v>3181518</v>
      </c>
      <c r="H62" s="83"/>
      <c r="I62" s="83">
        <f t="shared" si="11"/>
        <v>3181518.435</v>
      </c>
      <c r="J62" s="83">
        <f t="shared" si="12"/>
        <v>0</v>
      </c>
      <c r="K62" s="83">
        <f t="shared" si="13"/>
        <v>0</v>
      </c>
      <c r="L62" s="83">
        <f t="shared" si="14"/>
        <v>0</v>
      </c>
      <c r="M62" s="83"/>
      <c r="N62" s="83">
        <v>2955144.79</v>
      </c>
      <c r="O62" s="83">
        <v>0</v>
      </c>
      <c r="P62" s="83">
        <v>0</v>
      </c>
      <c r="Q62" s="83">
        <v>0</v>
      </c>
      <c r="R62" s="5"/>
      <c r="S62" s="5">
        <f>1832932.29+1574959.79</f>
        <v>3407892.08</v>
      </c>
      <c r="T62" s="5">
        <v>0</v>
      </c>
      <c r="U62" s="5">
        <v>0</v>
      </c>
      <c r="V62" s="5">
        <v>0</v>
      </c>
      <c r="W62" s="5"/>
      <c r="X62" s="5"/>
      <c r="Y62" s="5"/>
      <c r="Z62" s="5"/>
      <c r="AA62" s="5"/>
      <c r="AB62" s="5"/>
    </row>
    <row r="63" spans="1:28" ht="15">
      <c r="A63" s="99">
        <f t="shared" si="15"/>
        <v>47</v>
      </c>
      <c r="B63" s="83" t="s">
        <v>349</v>
      </c>
      <c r="C63" s="83">
        <f t="shared" si="8"/>
        <v>1245778.63</v>
      </c>
      <c r="D63" s="83">
        <f t="shared" si="9"/>
        <v>1667948.72</v>
      </c>
      <c r="E63" s="83"/>
      <c r="F63" s="83"/>
      <c r="G63" s="83">
        <f t="shared" si="10"/>
        <v>1456864</v>
      </c>
      <c r="H63" s="83"/>
      <c r="I63" s="83">
        <f t="shared" si="11"/>
        <v>1456863.6749999998</v>
      </c>
      <c r="J63" s="83">
        <f t="shared" si="12"/>
        <v>0</v>
      </c>
      <c r="K63" s="83">
        <f t="shared" si="13"/>
        <v>0</v>
      </c>
      <c r="L63" s="83">
        <f t="shared" si="14"/>
        <v>0</v>
      </c>
      <c r="M63" s="83"/>
      <c r="N63" s="83">
        <v>1245778.63</v>
      </c>
      <c r="O63" s="83">
        <v>0</v>
      </c>
      <c r="P63" s="83">
        <v>0</v>
      </c>
      <c r="Q63" s="83">
        <v>0</v>
      </c>
      <c r="R63" s="5"/>
      <c r="S63" s="5">
        <f>897105.01+770843.71</f>
        <v>1667948.72</v>
      </c>
      <c r="T63" s="5">
        <v>0</v>
      </c>
      <c r="U63" s="5">
        <v>0</v>
      </c>
      <c r="V63" s="5">
        <v>0</v>
      </c>
      <c r="W63" s="5"/>
      <c r="X63" s="5"/>
      <c r="Y63" s="5"/>
      <c r="Z63" s="5"/>
      <c r="AA63" s="5"/>
      <c r="AB63" s="5"/>
    </row>
    <row r="64" spans="1:28" ht="15">
      <c r="A64" s="99">
        <f t="shared" si="15"/>
        <v>48</v>
      </c>
      <c r="B64" s="83" t="s">
        <v>597</v>
      </c>
      <c r="C64" s="83">
        <f t="shared" si="8"/>
        <v>-3865491.7</v>
      </c>
      <c r="D64" s="83">
        <f t="shared" si="9"/>
        <v>-3508437.1</v>
      </c>
      <c r="E64" s="83"/>
      <c r="F64" s="83"/>
      <c r="G64" s="83">
        <f t="shared" si="10"/>
        <v>-3686964</v>
      </c>
      <c r="H64" s="83"/>
      <c r="I64" s="83">
        <f t="shared" si="11"/>
        <v>-3686964.4000000004</v>
      </c>
      <c r="J64" s="83">
        <f t="shared" si="12"/>
        <v>0</v>
      </c>
      <c r="K64" s="83">
        <f t="shared" si="13"/>
        <v>0</v>
      </c>
      <c r="L64" s="83">
        <f t="shared" si="14"/>
        <v>0</v>
      </c>
      <c r="M64" s="83"/>
      <c r="N64" s="83">
        <v>-3865491.7</v>
      </c>
      <c r="O64" s="83">
        <v>0</v>
      </c>
      <c r="P64" s="83">
        <v>0</v>
      </c>
      <c r="Q64" s="83">
        <v>0</v>
      </c>
      <c r="R64" s="5"/>
      <c r="S64" s="5">
        <v>-3508437.1</v>
      </c>
      <c r="T64" s="5">
        <v>0</v>
      </c>
      <c r="U64" s="5">
        <v>0</v>
      </c>
      <c r="V64" s="5">
        <v>0</v>
      </c>
      <c r="W64" s="5"/>
      <c r="X64" s="5"/>
      <c r="Y64" s="5"/>
      <c r="Z64" s="5"/>
      <c r="AA64" s="5"/>
      <c r="AB64" s="5"/>
    </row>
    <row r="65" spans="1:28" ht="15">
      <c r="A65" s="99">
        <f t="shared" si="15"/>
        <v>49</v>
      </c>
      <c r="B65" s="83" t="s">
        <v>425</v>
      </c>
      <c r="C65" s="83">
        <f t="shared" si="8"/>
        <v>-2931171.25</v>
      </c>
      <c r="D65" s="83">
        <f t="shared" si="9"/>
        <v>-9382987.95</v>
      </c>
      <c r="E65" s="83"/>
      <c r="F65" s="83"/>
      <c r="G65" s="83">
        <f t="shared" si="10"/>
        <v>-6157080</v>
      </c>
      <c r="H65" s="83"/>
      <c r="I65" s="83">
        <f t="shared" si="11"/>
        <v>0</v>
      </c>
      <c r="J65" s="83">
        <f t="shared" si="12"/>
        <v>0</v>
      </c>
      <c r="K65" s="83">
        <f t="shared" si="13"/>
        <v>-6157079.6</v>
      </c>
      <c r="L65" s="83">
        <f t="shared" si="14"/>
        <v>0</v>
      </c>
      <c r="M65" s="83"/>
      <c r="N65" s="83">
        <v>0</v>
      </c>
      <c r="O65" s="83">
        <v>0</v>
      </c>
      <c r="P65" s="83">
        <v>-2931171.25</v>
      </c>
      <c r="Q65" s="83">
        <v>0</v>
      </c>
      <c r="R65" s="5"/>
      <c r="S65" s="5">
        <v>0</v>
      </c>
      <c r="T65" s="5">
        <v>0</v>
      </c>
      <c r="U65" s="5">
        <f>-3427964.4-5955023.55</f>
        <v>-9382987.95</v>
      </c>
      <c r="V65" s="5">
        <v>0</v>
      </c>
      <c r="W65" s="5"/>
      <c r="X65" s="5"/>
      <c r="Y65" s="5"/>
      <c r="Z65" s="5"/>
      <c r="AA65" s="5"/>
      <c r="AB65" s="5"/>
    </row>
    <row r="66" spans="1:28" ht="15">
      <c r="A66" s="99">
        <f t="shared" si="15"/>
        <v>50</v>
      </c>
      <c r="B66" s="83" t="s">
        <v>598</v>
      </c>
      <c r="C66" s="83">
        <f t="shared" si="8"/>
        <v>4956082.28</v>
      </c>
      <c r="D66" s="83">
        <f t="shared" si="9"/>
        <v>4828538.85</v>
      </c>
      <c r="E66" s="83"/>
      <c r="F66" s="83"/>
      <c r="G66" s="83">
        <f t="shared" si="10"/>
        <v>4892311</v>
      </c>
      <c r="H66" s="83"/>
      <c r="I66" s="83">
        <f t="shared" si="11"/>
        <v>0.5</v>
      </c>
      <c r="J66" s="83">
        <f t="shared" si="12"/>
        <v>0</v>
      </c>
      <c r="K66" s="83">
        <f t="shared" si="13"/>
        <v>4892310.0649999995</v>
      </c>
      <c r="L66" s="83">
        <f t="shared" si="14"/>
        <v>0</v>
      </c>
      <c r="M66" s="83"/>
      <c r="N66" s="83">
        <v>0</v>
      </c>
      <c r="O66" s="83">
        <v>0</v>
      </c>
      <c r="P66" s="83">
        <f>7421502.28-2465420</f>
        <v>4956082.28</v>
      </c>
      <c r="Q66" s="83">
        <v>0</v>
      </c>
      <c r="R66" s="5"/>
      <c r="S66" s="5">
        <v>1</v>
      </c>
      <c r="T66" s="5">
        <v>0</v>
      </c>
      <c r="U66" s="5">
        <f>7293957.85-2465420</f>
        <v>4828537.85</v>
      </c>
      <c r="V66" s="5">
        <v>0</v>
      </c>
      <c r="W66" s="5"/>
      <c r="X66" s="5"/>
      <c r="Y66" s="5"/>
      <c r="Z66" s="5"/>
      <c r="AA66" s="5"/>
      <c r="AB66" s="5"/>
    </row>
    <row r="67" spans="1:28" ht="15">
      <c r="A67" s="99">
        <f t="shared" si="15"/>
        <v>51</v>
      </c>
      <c r="B67" s="83" t="s">
        <v>599</v>
      </c>
      <c r="C67" s="83">
        <f t="shared" si="8"/>
        <v>0</v>
      </c>
      <c r="D67" s="83">
        <f t="shared" si="9"/>
        <v>-546507.25</v>
      </c>
      <c r="E67" s="83"/>
      <c r="F67" s="83"/>
      <c r="G67" s="83">
        <f t="shared" si="10"/>
        <v>-273254</v>
      </c>
      <c r="H67" s="83"/>
      <c r="I67" s="83">
        <f t="shared" si="11"/>
        <v>-273253.625</v>
      </c>
      <c r="J67" s="83">
        <f t="shared" si="12"/>
        <v>0</v>
      </c>
      <c r="K67" s="83">
        <f t="shared" si="13"/>
        <v>0</v>
      </c>
      <c r="L67" s="83">
        <f t="shared" si="14"/>
        <v>0</v>
      </c>
      <c r="M67" s="83"/>
      <c r="N67" s="83">
        <v>0</v>
      </c>
      <c r="O67" s="83">
        <v>0</v>
      </c>
      <c r="P67" s="83">
        <v>0</v>
      </c>
      <c r="Q67" s="83">
        <v>0</v>
      </c>
      <c r="R67" s="5"/>
      <c r="S67" s="5">
        <v>-546507.25</v>
      </c>
      <c r="T67" s="5">
        <v>0</v>
      </c>
      <c r="U67" s="5">
        <v>0</v>
      </c>
      <c r="V67" s="5">
        <v>0</v>
      </c>
      <c r="W67" s="5"/>
      <c r="X67" s="5"/>
      <c r="Y67" s="5"/>
      <c r="Z67" s="5"/>
      <c r="AA67" s="5"/>
      <c r="AB67" s="5"/>
    </row>
    <row r="68" spans="1:28" ht="15">
      <c r="A68" s="99">
        <f t="shared" si="15"/>
        <v>52</v>
      </c>
      <c r="B68" s="83" t="s">
        <v>600</v>
      </c>
      <c r="C68" s="83">
        <f t="shared" si="8"/>
        <v>1659505.45</v>
      </c>
      <c r="D68" s="83">
        <f t="shared" si="9"/>
        <v>1659505.45</v>
      </c>
      <c r="E68" s="83"/>
      <c r="F68" s="83"/>
      <c r="G68" s="83">
        <f t="shared" si="10"/>
        <v>1659505</v>
      </c>
      <c r="H68" s="83"/>
      <c r="I68" s="83">
        <f t="shared" si="11"/>
        <v>1659505.45</v>
      </c>
      <c r="J68" s="83">
        <f t="shared" si="12"/>
        <v>0</v>
      </c>
      <c r="K68" s="83">
        <f t="shared" si="13"/>
        <v>0</v>
      </c>
      <c r="L68" s="83">
        <f t="shared" si="14"/>
        <v>0</v>
      </c>
      <c r="M68" s="83"/>
      <c r="N68" s="83">
        <v>1659505.45</v>
      </c>
      <c r="O68" s="83">
        <v>0</v>
      </c>
      <c r="P68" s="83">
        <v>0</v>
      </c>
      <c r="Q68" s="83">
        <v>0</v>
      </c>
      <c r="R68" s="5"/>
      <c r="S68" s="5">
        <v>1659505.45</v>
      </c>
      <c r="T68" s="5">
        <v>0</v>
      </c>
      <c r="U68" s="5">
        <v>0</v>
      </c>
      <c r="V68" s="5">
        <v>0</v>
      </c>
      <c r="W68" s="5"/>
      <c r="X68" s="5"/>
      <c r="Y68" s="5"/>
      <c r="Z68" s="5"/>
      <c r="AA68" s="5"/>
      <c r="AB68" s="5"/>
    </row>
    <row r="69" spans="1:28" ht="15">
      <c r="A69" s="99">
        <f t="shared" si="15"/>
        <v>53</v>
      </c>
      <c r="B69" s="83" t="s">
        <v>601</v>
      </c>
      <c r="C69" s="83">
        <f t="shared" si="8"/>
        <v>-381517.65</v>
      </c>
      <c r="D69" s="83">
        <f t="shared" si="9"/>
        <v>-1643612.75</v>
      </c>
      <c r="E69" s="83"/>
      <c r="F69" s="83"/>
      <c r="G69" s="83">
        <f t="shared" si="10"/>
        <v>-1012565</v>
      </c>
      <c r="H69" s="83"/>
      <c r="I69" s="83">
        <f t="shared" si="11"/>
        <v>-1012565.2</v>
      </c>
      <c r="J69" s="83">
        <f t="shared" si="12"/>
        <v>0</v>
      </c>
      <c r="K69" s="83">
        <f t="shared" si="13"/>
        <v>0</v>
      </c>
      <c r="L69" s="83">
        <f t="shared" si="14"/>
        <v>0</v>
      </c>
      <c r="M69" s="83"/>
      <c r="N69" s="83">
        <v>-381517.65</v>
      </c>
      <c r="O69" s="83">
        <v>0</v>
      </c>
      <c r="P69" s="83">
        <v>0</v>
      </c>
      <c r="Q69" s="83">
        <v>0</v>
      </c>
      <c r="R69" s="5"/>
      <c r="S69" s="5">
        <v>-1643612.75</v>
      </c>
      <c r="T69" s="5">
        <v>0</v>
      </c>
      <c r="U69" s="5">
        <v>0</v>
      </c>
      <c r="V69" s="5">
        <v>0</v>
      </c>
      <c r="W69" s="5"/>
      <c r="X69" s="5"/>
      <c r="Y69" s="5"/>
      <c r="Z69" s="5"/>
      <c r="AA69" s="5"/>
      <c r="AB69" s="5"/>
    </row>
    <row r="70" spans="1:28" ht="15">
      <c r="A70" s="99">
        <f t="shared" si="15"/>
        <v>54</v>
      </c>
      <c r="B70" s="83" t="s">
        <v>426</v>
      </c>
      <c r="C70" s="83">
        <f t="shared" si="8"/>
        <v>-3475513.19</v>
      </c>
      <c r="D70" s="83">
        <f t="shared" si="9"/>
        <v>-1989127.27</v>
      </c>
      <c r="E70" s="83"/>
      <c r="F70" s="83"/>
      <c r="G70" s="83">
        <f t="shared" si="10"/>
        <v>-2732320</v>
      </c>
      <c r="H70" s="83"/>
      <c r="I70" s="83">
        <f t="shared" si="11"/>
        <v>12238.375</v>
      </c>
      <c r="J70" s="83">
        <f t="shared" si="12"/>
        <v>-2744558.605</v>
      </c>
      <c r="K70" s="83">
        <f t="shared" si="13"/>
        <v>0</v>
      </c>
      <c r="L70" s="83">
        <f t="shared" si="14"/>
        <v>0</v>
      </c>
      <c r="M70" s="83"/>
      <c r="N70" s="83">
        <v>0</v>
      </c>
      <c r="O70" s="83">
        <v>-3475513.19</v>
      </c>
      <c r="P70" s="83">
        <v>0</v>
      </c>
      <c r="Q70" s="83">
        <v>0</v>
      </c>
      <c r="R70" s="5"/>
      <c r="S70" s="5">
        <v>24476.75</v>
      </c>
      <c r="T70" s="5">
        <f>-1106818.98-906785.04</f>
        <v>-2013604.02</v>
      </c>
      <c r="U70" s="5">
        <v>0</v>
      </c>
      <c r="V70" s="5">
        <v>0</v>
      </c>
      <c r="W70" s="5"/>
      <c r="X70" s="5"/>
      <c r="Y70" s="5"/>
      <c r="Z70" s="5"/>
      <c r="AA70" s="5"/>
      <c r="AB70" s="5"/>
    </row>
    <row r="71" spans="1:28" ht="15">
      <c r="A71" s="99">
        <f t="shared" si="15"/>
        <v>55</v>
      </c>
      <c r="B71" s="83" t="s">
        <v>602</v>
      </c>
      <c r="C71" s="83">
        <f t="shared" si="8"/>
        <v>0</v>
      </c>
      <c r="D71" s="83">
        <f t="shared" si="9"/>
        <v>2</v>
      </c>
      <c r="E71" s="83"/>
      <c r="F71" s="83"/>
      <c r="G71" s="83">
        <f t="shared" si="10"/>
        <v>1</v>
      </c>
      <c r="H71" s="83"/>
      <c r="I71" s="83">
        <f t="shared" si="11"/>
        <v>0</v>
      </c>
      <c r="J71" s="83">
        <f t="shared" si="12"/>
        <v>0</v>
      </c>
      <c r="K71" s="83">
        <f t="shared" si="13"/>
        <v>1</v>
      </c>
      <c r="L71" s="83">
        <f t="shared" si="14"/>
        <v>0</v>
      </c>
      <c r="M71" s="83"/>
      <c r="N71" s="83">
        <v>0</v>
      </c>
      <c r="O71" s="83">
        <v>0</v>
      </c>
      <c r="P71" s="83">
        <v>0</v>
      </c>
      <c r="Q71" s="83">
        <v>0</v>
      </c>
      <c r="R71" s="5"/>
      <c r="S71" s="5">
        <v>0</v>
      </c>
      <c r="T71" s="5">
        <v>0</v>
      </c>
      <c r="U71" s="5">
        <v>2</v>
      </c>
      <c r="V71" s="5">
        <v>0</v>
      </c>
      <c r="W71" s="5"/>
      <c r="X71" s="5"/>
      <c r="Y71" s="5"/>
      <c r="Z71" s="5"/>
      <c r="AA71" s="5"/>
      <c r="AB71" s="5"/>
    </row>
    <row r="72" spans="1:28" ht="15">
      <c r="A72" s="99">
        <f t="shared" si="15"/>
        <v>56</v>
      </c>
      <c r="B72" s="83" t="s">
        <v>522</v>
      </c>
      <c r="C72" s="83">
        <f t="shared" si="8"/>
        <v>-206869</v>
      </c>
      <c r="D72" s="83">
        <f t="shared" si="9"/>
        <v>-206869</v>
      </c>
      <c r="E72" s="83"/>
      <c r="F72" s="83"/>
      <c r="G72" s="83">
        <f t="shared" si="10"/>
        <v>-206869</v>
      </c>
      <c r="H72" s="83"/>
      <c r="I72" s="83">
        <f t="shared" si="11"/>
        <v>-206869</v>
      </c>
      <c r="J72" s="83">
        <f t="shared" si="12"/>
        <v>0</v>
      </c>
      <c r="K72" s="83">
        <f t="shared" si="13"/>
        <v>0</v>
      </c>
      <c r="L72" s="83">
        <f t="shared" si="14"/>
        <v>0</v>
      </c>
      <c r="M72" s="83"/>
      <c r="N72" s="83">
        <v>-206869</v>
      </c>
      <c r="O72" s="83">
        <v>0</v>
      </c>
      <c r="P72" s="83">
        <v>0</v>
      </c>
      <c r="Q72" s="83">
        <v>0</v>
      </c>
      <c r="R72" s="5"/>
      <c r="S72" s="5">
        <v>-206869</v>
      </c>
      <c r="T72" s="5">
        <v>0</v>
      </c>
      <c r="U72" s="5">
        <v>0</v>
      </c>
      <c r="V72" s="5">
        <v>0</v>
      </c>
      <c r="W72" s="5"/>
      <c r="X72" s="5"/>
      <c r="Y72" s="5"/>
      <c r="Z72" s="5"/>
      <c r="AA72" s="5"/>
      <c r="AB72" s="5"/>
    </row>
    <row r="73" spans="1:28" ht="15">
      <c r="A73" s="99">
        <f t="shared" si="15"/>
        <v>57</v>
      </c>
      <c r="B73" s="83" t="s">
        <v>189</v>
      </c>
      <c r="C73" s="83">
        <f t="shared" si="8"/>
        <v>261603.17</v>
      </c>
      <c r="D73" s="83">
        <f t="shared" si="9"/>
        <v>252521.99</v>
      </c>
      <c r="E73" s="83"/>
      <c r="F73" s="83"/>
      <c r="G73" s="83">
        <f t="shared" si="10"/>
        <v>257063</v>
      </c>
      <c r="H73" s="83"/>
      <c r="I73" s="83">
        <f t="shared" si="11"/>
        <v>0</v>
      </c>
      <c r="J73" s="83">
        <f t="shared" si="12"/>
        <v>0</v>
      </c>
      <c r="K73" s="83">
        <f t="shared" si="13"/>
        <v>257062.58000000002</v>
      </c>
      <c r="L73" s="83">
        <f t="shared" si="14"/>
        <v>0</v>
      </c>
      <c r="M73" s="83"/>
      <c r="N73" s="83">
        <v>0</v>
      </c>
      <c r="O73" s="83">
        <v>0</v>
      </c>
      <c r="P73" s="83">
        <v>261603.17</v>
      </c>
      <c r="Q73" s="83">
        <v>0</v>
      </c>
      <c r="R73" s="5"/>
      <c r="S73" s="5">
        <v>0</v>
      </c>
      <c r="T73" s="5">
        <v>0</v>
      </c>
      <c r="U73" s="5">
        <f>205495.12+47026.87</f>
        <v>252521.99</v>
      </c>
      <c r="V73" s="5">
        <v>0</v>
      </c>
      <c r="W73" s="5"/>
      <c r="X73" s="5"/>
      <c r="Y73" s="5"/>
      <c r="Z73" s="5"/>
      <c r="AA73" s="5"/>
      <c r="AB73" s="5"/>
    </row>
    <row r="74" spans="1:28" ht="15">
      <c r="A74" s="99">
        <f t="shared" si="15"/>
        <v>58</v>
      </c>
      <c r="B74" s="83" t="s">
        <v>603</v>
      </c>
      <c r="C74" s="83">
        <f t="shared" si="8"/>
        <v>0</v>
      </c>
      <c r="D74" s="83">
        <f t="shared" si="9"/>
        <v>-242136.64</v>
      </c>
      <c r="E74" s="83"/>
      <c r="F74" s="83"/>
      <c r="G74" s="83">
        <f t="shared" si="10"/>
        <v>-121068</v>
      </c>
      <c r="H74" s="83"/>
      <c r="I74" s="83">
        <f t="shared" si="11"/>
        <v>0</v>
      </c>
      <c r="J74" s="83">
        <f t="shared" si="12"/>
        <v>0</v>
      </c>
      <c r="K74" s="83">
        <f t="shared" si="13"/>
        <v>-121068.32</v>
      </c>
      <c r="L74" s="83">
        <f t="shared" si="14"/>
        <v>0</v>
      </c>
      <c r="M74" s="83"/>
      <c r="N74" s="83">
        <v>0</v>
      </c>
      <c r="O74" s="83">
        <v>0</v>
      </c>
      <c r="P74" s="83">
        <v>0</v>
      </c>
      <c r="Q74" s="83">
        <v>0</v>
      </c>
      <c r="R74" s="5"/>
      <c r="S74" s="5">
        <v>0</v>
      </c>
      <c r="T74" s="5">
        <v>0</v>
      </c>
      <c r="U74" s="5">
        <f>-242137.44+0.8</f>
        <v>-242136.64</v>
      </c>
      <c r="V74" s="5">
        <v>0</v>
      </c>
      <c r="W74" s="5"/>
      <c r="X74" s="5"/>
      <c r="Y74" s="5"/>
      <c r="Z74" s="5"/>
      <c r="AA74" s="5"/>
      <c r="AB74" s="5"/>
    </row>
    <row r="75" spans="1:28" ht="15">
      <c r="A75" s="99">
        <f t="shared" si="15"/>
        <v>59</v>
      </c>
      <c r="B75" s="83" t="s">
        <v>181</v>
      </c>
      <c r="C75" s="83">
        <f t="shared" si="8"/>
        <v>468208.14</v>
      </c>
      <c r="D75" s="83">
        <f t="shared" si="9"/>
        <v>510158.36</v>
      </c>
      <c r="E75" s="83"/>
      <c r="F75" s="83"/>
      <c r="G75" s="83">
        <f t="shared" si="10"/>
        <v>489183</v>
      </c>
      <c r="H75" s="83"/>
      <c r="I75" s="83">
        <f t="shared" si="11"/>
        <v>0</v>
      </c>
      <c r="J75" s="83">
        <f t="shared" si="12"/>
        <v>489183.25</v>
      </c>
      <c r="K75" s="83">
        <f t="shared" si="13"/>
        <v>0</v>
      </c>
      <c r="L75" s="83">
        <f t="shared" si="14"/>
        <v>0</v>
      </c>
      <c r="M75" s="83"/>
      <c r="N75" s="83">
        <v>0</v>
      </c>
      <c r="O75" s="83">
        <v>468208.14</v>
      </c>
      <c r="P75" s="83">
        <v>0</v>
      </c>
      <c r="Q75" s="83">
        <v>0</v>
      </c>
      <c r="R75" s="5"/>
      <c r="S75" s="5">
        <v>0</v>
      </c>
      <c r="T75" s="5">
        <f>22804.1+487354.26</f>
        <v>510158.36</v>
      </c>
      <c r="U75" s="5">
        <v>0</v>
      </c>
      <c r="V75" s="5">
        <v>0</v>
      </c>
      <c r="W75" s="5"/>
      <c r="X75" s="5"/>
      <c r="Y75" s="5"/>
      <c r="Z75" s="5"/>
      <c r="AA75" s="5"/>
      <c r="AB75" s="5"/>
    </row>
    <row r="76" spans="1:28" ht="15">
      <c r="A76" s="99">
        <f t="shared" si="15"/>
        <v>60</v>
      </c>
      <c r="B76" s="83" t="s">
        <v>604</v>
      </c>
      <c r="C76" s="83">
        <f t="shared" si="8"/>
        <v>0</v>
      </c>
      <c r="D76" s="83">
        <f t="shared" si="9"/>
        <v>0.89</v>
      </c>
      <c r="E76" s="83"/>
      <c r="F76" s="83"/>
      <c r="G76" s="83">
        <f t="shared" si="10"/>
        <v>0</v>
      </c>
      <c r="H76" s="83"/>
      <c r="I76" s="83">
        <f t="shared" si="11"/>
        <v>0</v>
      </c>
      <c r="J76" s="83">
        <f t="shared" si="12"/>
        <v>0</v>
      </c>
      <c r="K76" s="83">
        <f t="shared" si="13"/>
        <v>0.445</v>
      </c>
      <c r="L76" s="83">
        <f t="shared" si="14"/>
        <v>0</v>
      </c>
      <c r="M76" s="83"/>
      <c r="N76" s="83">
        <v>0</v>
      </c>
      <c r="O76" s="83">
        <v>0</v>
      </c>
      <c r="P76" s="83">
        <v>0</v>
      </c>
      <c r="Q76" s="83">
        <v>0</v>
      </c>
      <c r="R76" s="5"/>
      <c r="S76" s="5">
        <v>0</v>
      </c>
      <c r="T76" s="5">
        <v>0</v>
      </c>
      <c r="U76" s="5">
        <v>0.89</v>
      </c>
      <c r="V76" s="5">
        <v>0</v>
      </c>
      <c r="W76" s="5"/>
      <c r="X76" s="5"/>
      <c r="Y76" s="5"/>
      <c r="Z76" s="5"/>
      <c r="AA76" s="5"/>
      <c r="AB76" s="5"/>
    </row>
    <row r="77" spans="1:28" ht="15">
      <c r="A77" s="99">
        <f t="shared" si="15"/>
        <v>61</v>
      </c>
      <c r="B77" s="83" t="s">
        <v>605</v>
      </c>
      <c r="C77" s="83">
        <f t="shared" si="8"/>
        <v>643269.4</v>
      </c>
      <c r="D77" s="83">
        <f t="shared" si="9"/>
        <v>0</v>
      </c>
      <c r="E77" s="83"/>
      <c r="F77" s="83"/>
      <c r="G77" s="83">
        <f t="shared" si="10"/>
        <v>321635</v>
      </c>
      <c r="H77" s="83"/>
      <c r="I77" s="83">
        <f t="shared" si="11"/>
        <v>321634.7</v>
      </c>
      <c r="J77" s="83">
        <f t="shared" si="12"/>
        <v>0</v>
      </c>
      <c r="K77" s="83">
        <f t="shared" si="13"/>
        <v>0</v>
      </c>
      <c r="L77" s="83">
        <f t="shared" si="14"/>
        <v>0</v>
      </c>
      <c r="M77" s="83"/>
      <c r="N77" s="83">
        <v>643269.4</v>
      </c>
      <c r="O77" s="83">
        <v>0</v>
      </c>
      <c r="P77" s="83">
        <v>0</v>
      </c>
      <c r="Q77" s="83">
        <v>0</v>
      </c>
      <c r="R77" s="5"/>
      <c r="S77" s="5">
        <v>0</v>
      </c>
      <c r="T77" s="5">
        <v>0</v>
      </c>
      <c r="U77" s="5">
        <v>0</v>
      </c>
      <c r="V77" s="5">
        <v>0</v>
      </c>
      <c r="W77" s="5"/>
      <c r="X77" s="5"/>
      <c r="Y77" s="5"/>
      <c r="Z77" s="5"/>
      <c r="AA77" s="5"/>
      <c r="AB77" s="5"/>
    </row>
    <row r="78" spans="1:28" ht="15">
      <c r="A78" s="99">
        <f t="shared" si="15"/>
        <v>62</v>
      </c>
      <c r="B78" s="83" t="s">
        <v>606</v>
      </c>
      <c r="C78" s="83">
        <f t="shared" si="8"/>
        <v>3859616.37</v>
      </c>
      <c r="D78" s="83">
        <f t="shared" si="9"/>
        <v>0</v>
      </c>
      <c r="E78" s="83"/>
      <c r="F78" s="83"/>
      <c r="G78" s="83">
        <f t="shared" si="10"/>
        <v>1929808</v>
      </c>
      <c r="H78" s="83"/>
      <c r="I78" s="83">
        <f t="shared" si="11"/>
        <v>1929808.185</v>
      </c>
      <c r="J78" s="83">
        <f t="shared" si="12"/>
        <v>0</v>
      </c>
      <c r="K78" s="83">
        <f t="shared" si="13"/>
        <v>0</v>
      </c>
      <c r="L78" s="83">
        <f t="shared" si="14"/>
        <v>0</v>
      </c>
      <c r="M78" s="83"/>
      <c r="N78" s="83">
        <v>3859616.37</v>
      </c>
      <c r="O78" s="83">
        <v>0</v>
      </c>
      <c r="P78" s="83">
        <v>0</v>
      </c>
      <c r="Q78" s="83">
        <v>0</v>
      </c>
      <c r="R78" s="5"/>
      <c r="S78" s="5">
        <v>0</v>
      </c>
      <c r="T78" s="5">
        <v>0</v>
      </c>
      <c r="U78" s="5">
        <v>0</v>
      </c>
      <c r="V78" s="5">
        <v>0</v>
      </c>
      <c r="W78" s="5"/>
      <c r="X78" s="5"/>
      <c r="Y78" s="5"/>
      <c r="Z78" s="5"/>
      <c r="AA78" s="5"/>
      <c r="AB78" s="5"/>
    </row>
    <row r="79" spans="1:28" ht="15">
      <c r="A79" s="99">
        <f t="shared" si="15"/>
        <v>63</v>
      </c>
      <c r="B79" s="83" t="s">
        <v>607</v>
      </c>
      <c r="C79" s="83">
        <f t="shared" si="8"/>
        <v>0</v>
      </c>
      <c r="D79" s="83">
        <f t="shared" si="9"/>
        <v>315000</v>
      </c>
      <c r="E79" s="83"/>
      <c r="F79" s="83"/>
      <c r="G79" s="83">
        <f t="shared" si="10"/>
        <v>157500</v>
      </c>
      <c r="H79" s="83"/>
      <c r="I79" s="83">
        <f t="shared" si="11"/>
        <v>157500</v>
      </c>
      <c r="J79" s="83">
        <f t="shared" si="12"/>
        <v>0</v>
      </c>
      <c r="K79" s="83">
        <f t="shared" si="13"/>
        <v>0</v>
      </c>
      <c r="L79" s="83">
        <f t="shared" si="14"/>
        <v>0</v>
      </c>
      <c r="M79" s="83"/>
      <c r="N79" s="83">
        <v>0</v>
      </c>
      <c r="O79" s="83">
        <v>0</v>
      </c>
      <c r="P79" s="83">
        <v>0</v>
      </c>
      <c r="Q79" s="83">
        <v>0</v>
      </c>
      <c r="R79" s="5"/>
      <c r="S79" s="5">
        <v>315000</v>
      </c>
      <c r="T79" s="5">
        <v>0</v>
      </c>
      <c r="U79" s="5">
        <v>0</v>
      </c>
      <c r="V79" s="5">
        <v>0</v>
      </c>
      <c r="W79" s="5"/>
      <c r="X79" s="5"/>
      <c r="Y79" s="5"/>
      <c r="Z79" s="5"/>
      <c r="AA79" s="5"/>
      <c r="AB79" s="5"/>
    </row>
    <row r="80" spans="1:28" ht="15">
      <c r="A80" s="99">
        <f t="shared" si="15"/>
        <v>64</v>
      </c>
      <c r="B80" s="83" t="s">
        <v>608</v>
      </c>
      <c r="C80" s="83">
        <f t="shared" si="8"/>
        <v>2699857.81</v>
      </c>
      <c r="D80" s="83">
        <f t="shared" si="9"/>
        <v>1979249.9</v>
      </c>
      <c r="E80" s="83"/>
      <c r="F80" s="83"/>
      <c r="G80" s="83">
        <f t="shared" si="10"/>
        <v>2339554</v>
      </c>
      <c r="H80" s="83"/>
      <c r="I80" s="83">
        <f t="shared" si="11"/>
        <v>0</v>
      </c>
      <c r="J80" s="83">
        <f t="shared" si="12"/>
        <v>-0.025</v>
      </c>
      <c r="K80" s="83">
        <f t="shared" si="13"/>
        <v>2339553.88</v>
      </c>
      <c r="L80" s="83">
        <f t="shared" si="14"/>
        <v>0</v>
      </c>
      <c r="M80" s="83"/>
      <c r="N80" s="83">
        <v>0</v>
      </c>
      <c r="O80" s="83">
        <v>0</v>
      </c>
      <c r="P80" s="83">
        <v>2699857.81</v>
      </c>
      <c r="Q80" s="83">
        <v>0</v>
      </c>
      <c r="R80" s="5"/>
      <c r="S80" s="5">
        <v>0</v>
      </c>
      <c r="T80" s="5">
        <v>-0.05</v>
      </c>
      <c r="U80" s="5">
        <v>1979249.95</v>
      </c>
      <c r="V80" s="5">
        <v>0</v>
      </c>
      <c r="W80" s="5"/>
      <c r="X80" s="5"/>
      <c r="Y80" s="5"/>
      <c r="Z80" s="5"/>
      <c r="AA80" s="5"/>
      <c r="AB80" s="5"/>
    </row>
    <row r="81" spans="1:28" ht="15">
      <c r="A81" s="99">
        <f t="shared" si="15"/>
        <v>65</v>
      </c>
      <c r="B81" s="83" t="s">
        <v>193</v>
      </c>
      <c r="C81" s="83">
        <f aca="true" t="shared" si="16" ref="C81:C107">SUM(N81:Q81)</f>
        <v>7878.34</v>
      </c>
      <c r="D81" s="83">
        <f aca="true" t="shared" si="17" ref="D81:D107">SUM(S81:V81)</f>
        <v>5442.82</v>
      </c>
      <c r="E81" s="83"/>
      <c r="F81" s="83"/>
      <c r="G81" s="83">
        <f aca="true" t="shared" si="18" ref="G81:G107">ROUND(SUM(C81:F81)/2,0)</f>
        <v>6661</v>
      </c>
      <c r="H81" s="83"/>
      <c r="I81" s="83">
        <f aca="true" t="shared" si="19" ref="I81:I107">(+N81+S81)/2</f>
        <v>2197.725</v>
      </c>
      <c r="J81" s="83">
        <f aca="true" t="shared" si="20" ref="J81:J107">(+O81+T81)/2</f>
        <v>86.93</v>
      </c>
      <c r="K81" s="83">
        <f aca="true" t="shared" si="21" ref="K81:K107">(+P81+U81)/2</f>
        <v>4375.925</v>
      </c>
      <c r="L81" s="83">
        <f aca="true" t="shared" si="22" ref="L81:L107">(+Q81+V81)/2</f>
        <v>0</v>
      </c>
      <c r="M81" s="83"/>
      <c r="N81" s="83">
        <v>1896.55</v>
      </c>
      <c r="O81" s="83">
        <v>98.18</v>
      </c>
      <c r="P81" s="83">
        <v>5883.61</v>
      </c>
      <c r="Q81" s="83">
        <v>0</v>
      </c>
      <c r="R81" s="5"/>
      <c r="S81" s="5">
        <f>2101.45+397.45</f>
        <v>2498.8999999999996</v>
      </c>
      <c r="T81" s="5">
        <v>75.68</v>
      </c>
      <c r="U81" s="5">
        <f>430.34+2437.9</f>
        <v>2868.2400000000002</v>
      </c>
      <c r="V81" s="5">
        <v>0</v>
      </c>
      <c r="W81" s="5"/>
      <c r="X81" s="5"/>
      <c r="Y81" s="5"/>
      <c r="Z81" s="5"/>
      <c r="AA81" s="5"/>
      <c r="AB81" s="5"/>
    </row>
    <row r="82" spans="1:28" ht="15">
      <c r="A82" s="99">
        <f aca="true" t="shared" si="23" ref="A82:A117">+A81+1</f>
        <v>66</v>
      </c>
      <c r="B82" s="83" t="s">
        <v>357</v>
      </c>
      <c r="C82" s="83">
        <f t="shared" si="16"/>
        <v>235.70000000000002</v>
      </c>
      <c r="D82" s="83">
        <f t="shared" si="17"/>
        <v>-13865.449999999999</v>
      </c>
      <c r="E82" s="83"/>
      <c r="F82" s="83"/>
      <c r="G82" s="83">
        <f t="shared" si="18"/>
        <v>-6815</v>
      </c>
      <c r="H82" s="83"/>
      <c r="I82" s="83">
        <f t="shared" si="19"/>
        <v>0</v>
      </c>
      <c r="J82" s="83">
        <f t="shared" si="20"/>
        <v>-67.375</v>
      </c>
      <c r="K82" s="83">
        <f t="shared" si="21"/>
        <v>-6747.5</v>
      </c>
      <c r="L82" s="83">
        <f t="shared" si="22"/>
        <v>0</v>
      </c>
      <c r="M82" s="83"/>
      <c r="N82" s="83">
        <v>0</v>
      </c>
      <c r="O82" s="83">
        <v>-80.85</v>
      </c>
      <c r="P82" s="83">
        <v>316.55</v>
      </c>
      <c r="Q82" s="83">
        <v>0</v>
      </c>
      <c r="R82" s="5"/>
      <c r="S82" s="5">
        <v>0</v>
      </c>
      <c r="T82" s="5">
        <v>-53.9</v>
      </c>
      <c r="U82" s="5">
        <f>821.25-14632.8</f>
        <v>-13811.55</v>
      </c>
      <c r="V82" s="5">
        <v>0</v>
      </c>
      <c r="W82" s="5"/>
      <c r="X82" s="5"/>
      <c r="Y82" s="5"/>
      <c r="Z82" s="5"/>
      <c r="AA82" s="5"/>
      <c r="AB82" s="5"/>
    </row>
    <row r="83" spans="1:28" ht="15">
      <c r="A83" s="99">
        <f t="shared" si="23"/>
        <v>67</v>
      </c>
      <c r="B83" s="83" t="s">
        <v>609</v>
      </c>
      <c r="C83" s="83">
        <f t="shared" si="16"/>
        <v>-3577795</v>
      </c>
      <c r="D83" s="83">
        <f t="shared" si="17"/>
        <v>-3577795</v>
      </c>
      <c r="E83" s="83"/>
      <c r="F83" s="83"/>
      <c r="G83" s="83">
        <f t="shared" si="18"/>
        <v>-3577795</v>
      </c>
      <c r="H83" s="83"/>
      <c r="I83" s="83">
        <f t="shared" si="19"/>
        <v>-3577795</v>
      </c>
      <c r="J83" s="83">
        <f t="shared" si="20"/>
        <v>0</v>
      </c>
      <c r="K83" s="83">
        <f t="shared" si="21"/>
        <v>0</v>
      </c>
      <c r="L83" s="83">
        <f t="shared" si="22"/>
        <v>0</v>
      </c>
      <c r="M83" s="83"/>
      <c r="N83" s="83">
        <v>-3577795</v>
      </c>
      <c r="O83" s="83">
        <v>0</v>
      </c>
      <c r="P83" s="83">
        <v>0</v>
      </c>
      <c r="Q83" s="83">
        <v>0</v>
      </c>
      <c r="R83" s="5"/>
      <c r="S83" s="5">
        <v>-3577795</v>
      </c>
      <c r="T83" s="5">
        <v>0</v>
      </c>
      <c r="U83" s="5">
        <v>0</v>
      </c>
      <c r="V83" s="5">
        <v>0</v>
      </c>
      <c r="W83" s="5"/>
      <c r="X83" s="5"/>
      <c r="Y83" s="5"/>
      <c r="Z83" s="5"/>
      <c r="AA83" s="5"/>
      <c r="AB83" s="5"/>
    </row>
    <row r="84" spans="1:28" ht="15">
      <c r="A84" s="99">
        <f t="shared" si="23"/>
        <v>68</v>
      </c>
      <c r="B84" s="83" t="s">
        <v>195</v>
      </c>
      <c r="C84" s="83">
        <f t="shared" si="16"/>
        <v>22486274.299999997</v>
      </c>
      <c r="D84" s="83">
        <f t="shared" si="17"/>
        <v>19385020.5</v>
      </c>
      <c r="E84" s="83"/>
      <c r="F84" s="83"/>
      <c r="G84" s="83">
        <f t="shared" si="18"/>
        <v>20935647</v>
      </c>
      <c r="H84" s="83"/>
      <c r="I84" s="83">
        <f t="shared" si="19"/>
        <v>12463837.024999999</v>
      </c>
      <c r="J84" s="83">
        <f t="shared" si="20"/>
        <v>378619.86</v>
      </c>
      <c r="K84" s="83">
        <f t="shared" si="21"/>
        <v>5090268.029999999</v>
      </c>
      <c r="L84" s="83">
        <f t="shared" si="22"/>
        <v>3002922.4850000003</v>
      </c>
      <c r="M84" s="83"/>
      <c r="N84" s="83">
        <v>12856293.36</v>
      </c>
      <c r="O84" s="83">
        <v>300372.59</v>
      </c>
      <c r="P84" s="83">
        <v>5311506.42</v>
      </c>
      <c r="Q84" s="83">
        <v>4018101.93</v>
      </c>
      <c r="R84" s="5"/>
      <c r="S84" s="5">
        <f>10332899.52+1738481.17</f>
        <v>12071380.69</v>
      </c>
      <c r="T84" s="5">
        <f>144393.12+312474.01</f>
        <v>456867.13</v>
      </c>
      <c r="U84" s="5">
        <f>718646.99+4150382.65</f>
        <v>4869029.64</v>
      </c>
      <c r="V84" s="5">
        <v>1987743.04</v>
      </c>
      <c r="W84" s="5"/>
      <c r="X84" s="5"/>
      <c r="Y84" s="5"/>
      <c r="Z84" s="5"/>
      <c r="AA84" s="5"/>
      <c r="AB84" s="5"/>
    </row>
    <row r="85" spans="1:28" ht="15">
      <c r="A85" s="99">
        <f t="shared" si="23"/>
        <v>69</v>
      </c>
      <c r="B85" s="83" t="s">
        <v>610</v>
      </c>
      <c r="C85" s="83">
        <f t="shared" si="16"/>
        <v>29565228.35</v>
      </c>
      <c r="D85" s="83">
        <f t="shared" si="17"/>
        <v>24895022.6</v>
      </c>
      <c r="E85" s="83"/>
      <c r="F85" s="83"/>
      <c r="G85" s="83">
        <f t="shared" si="18"/>
        <v>27230125</v>
      </c>
      <c r="H85" s="83"/>
      <c r="I85" s="83">
        <f t="shared" si="19"/>
        <v>0</v>
      </c>
      <c r="J85" s="83">
        <f t="shared" si="20"/>
        <v>3800793.3249999997</v>
      </c>
      <c r="K85" s="83">
        <f t="shared" si="21"/>
        <v>23429332.15</v>
      </c>
      <c r="L85" s="83">
        <f t="shared" si="22"/>
        <v>0</v>
      </c>
      <c r="M85" s="83"/>
      <c r="N85" s="83">
        <v>0</v>
      </c>
      <c r="O85" s="83">
        <v>4132475.55</v>
      </c>
      <c r="P85" s="83">
        <v>25432752.8</v>
      </c>
      <c r="Q85" s="83">
        <v>0</v>
      </c>
      <c r="R85" s="5"/>
      <c r="S85" s="5">
        <v>0</v>
      </c>
      <c r="T85" s="5">
        <f>2524185.65+944925.45</f>
        <v>3469111.0999999996</v>
      </c>
      <c r="U85" s="5">
        <f>12169093.3+9256818.2</f>
        <v>21425911.5</v>
      </c>
      <c r="V85" s="5">
        <v>0</v>
      </c>
      <c r="W85" s="5"/>
      <c r="X85" s="5"/>
      <c r="Y85" s="5"/>
      <c r="Z85" s="5"/>
      <c r="AA85" s="5"/>
      <c r="AB85" s="5"/>
    </row>
    <row r="86" spans="1:28" ht="15">
      <c r="A86" s="99">
        <f t="shared" si="23"/>
        <v>70</v>
      </c>
      <c r="B86" s="83" t="s">
        <v>198</v>
      </c>
      <c r="C86" s="83">
        <f t="shared" si="16"/>
        <v>6781774.1</v>
      </c>
      <c r="D86" s="83">
        <f t="shared" si="17"/>
        <v>1175824.2600000002</v>
      </c>
      <c r="E86" s="83"/>
      <c r="F86" s="83"/>
      <c r="G86" s="83">
        <f t="shared" si="18"/>
        <v>3978799</v>
      </c>
      <c r="H86" s="83"/>
      <c r="I86" s="83">
        <f t="shared" si="19"/>
        <v>920010.885</v>
      </c>
      <c r="J86" s="83">
        <f t="shared" si="20"/>
        <v>443528.4</v>
      </c>
      <c r="K86" s="83">
        <f t="shared" si="21"/>
        <v>2614700.88</v>
      </c>
      <c r="L86" s="83">
        <f t="shared" si="22"/>
        <v>559.0150000000001</v>
      </c>
      <c r="M86" s="83"/>
      <c r="N86" s="83">
        <v>3746138.88</v>
      </c>
      <c r="O86" s="83">
        <v>531940.92</v>
      </c>
      <c r="P86" s="83">
        <v>2502268.14</v>
      </c>
      <c r="Q86" s="83">
        <v>1426.16</v>
      </c>
      <c r="R86" s="5"/>
      <c r="S86" s="5">
        <f>-2947553.59+1041436.48</f>
        <v>-1906117.1099999999</v>
      </c>
      <c r="T86" s="5">
        <f>355116.78-0.9</f>
        <v>355115.88</v>
      </c>
      <c r="U86" s="5">
        <f>1708866.64+1018266.98</f>
        <v>2727133.62</v>
      </c>
      <c r="V86" s="5">
        <v>-308.13</v>
      </c>
      <c r="W86" s="5"/>
      <c r="X86" s="5"/>
      <c r="Y86" s="5"/>
      <c r="Z86" s="5"/>
      <c r="AA86" s="5"/>
      <c r="AB86" s="5"/>
    </row>
    <row r="87" spans="1:28" ht="15">
      <c r="A87" s="99">
        <f t="shared" si="23"/>
        <v>71</v>
      </c>
      <c r="B87" s="83" t="s">
        <v>429</v>
      </c>
      <c r="C87" s="83">
        <f t="shared" si="16"/>
        <v>82811799.55</v>
      </c>
      <c r="D87" s="83">
        <f t="shared" si="17"/>
        <v>63763319.080000006</v>
      </c>
      <c r="E87" s="83"/>
      <c r="F87" s="83"/>
      <c r="G87" s="83">
        <f t="shared" si="18"/>
        <v>73287559</v>
      </c>
      <c r="H87" s="83"/>
      <c r="I87" s="83">
        <f t="shared" si="19"/>
        <v>73097779.57</v>
      </c>
      <c r="J87" s="83">
        <f t="shared" si="20"/>
        <v>7802.635</v>
      </c>
      <c r="K87" s="83">
        <f t="shared" si="21"/>
        <v>181977.11</v>
      </c>
      <c r="L87" s="83">
        <f t="shared" si="22"/>
        <v>0</v>
      </c>
      <c r="M87" s="83"/>
      <c r="N87" s="83">
        <v>82616153.49</v>
      </c>
      <c r="O87" s="83">
        <v>8043.98</v>
      </c>
      <c r="P87" s="83">
        <v>187602.08</v>
      </c>
      <c r="Q87" s="83">
        <v>0</v>
      </c>
      <c r="R87" s="5"/>
      <c r="S87" s="5">
        <f>46889527.67+16689877.98</f>
        <v>63579405.650000006</v>
      </c>
      <c r="T87" s="5">
        <v>7561.29</v>
      </c>
      <c r="U87" s="5">
        <v>176352.14</v>
      </c>
      <c r="V87" s="5">
        <v>0</v>
      </c>
      <c r="W87" s="5"/>
      <c r="X87" s="5"/>
      <c r="Y87" s="5"/>
      <c r="Z87" s="5"/>
      <c r="AA87" s="5"/>
      <c r="AB87" s="5"/>
    </row>
    <row r="88" spans="1:28" ht="15">
      <c r="A88" s="99">
        <f t="shared" si="23"/>
        <v>72</v>
      </c>
      <c r="B88" s="83" t="s">
        <v>611</v>
      </c>
      <c r="C88" s="83">
        <f t="shared" si="16"/>
        <v>-7752140.79</v>
      </c>
      <c r="D88" s="83">
        <f t="shared" si="17"/>
        <v>-6519819.92</v>
      </c>
      <c r="E88" s="83"/>
      <c r="F88" s="83"/>
      <c r="G88" s="83">
        <f t="shared" si="18"/>
        <v>-7135980</v>
      </c>
      <c r="H88" s="83"/>
      <c r="I88" s="83">
        <f t="shared" si="19"/>
        <v>-6801673.04</v>
      </c>
      <c r="J88" s="83">
        <f t="shared" si="20"/>
        <v>0</v>
      </c>
      <c r="K88" s="83">
        <f t="shared" si="21"/>
        <v>0</v>
      </c>
      <c r="L88" s="83">
        <f t="shared" si="22"/>
        <v>-334307.31499999994</v>
      </c>
      <c r="M88" s="83"/>
      <c r="N88" s="83">
        <v>-7351990.07</v>
      </c>
      <c r="O88" s="83">
        <v>0</v>
      </c>
      <c r="P88" s="83">
        <v>0</v>
      </c>
      <c r="Q88" s="83">
        <v>-400150.72</v>
      </c>
      <c r="R88" s="5"/>
      <c r="S88" s="5">
        <f>-4793631.29-1457724.72</f>
        <v>-6251356.01</v>
      </c>
      <c r="T88" s="5">
        <v>0</v>
      </c>
      <c r="U88" s="5">
        <v>0</v>
      </c>
      <c r="V88" s="5">
        <v>-268463.91</v>
      </c>
      <c r="W88" s="5"/>
      <c r="X88" s="5"/>
      <c r="Y88" s="5"/>
      <c r="Z88" s="5"/>
      <c r="AA88" s="5"/>
      <c r="AB88" s="5"/>
    </row>
    <row r="89" spans="1:28" ht="15">
      <c r="A89" s="99">
        <f t="shared" si="23"/>
        <v>73</v>
      </c>
      <c r="B89" s="83" t="s">
        <v>612</v>
      </c>
      <c r="C89" s="83">
        <f t="shared" si="16"/>
        <v>2291770.95</v>
      </c>
      <c r="D89" s="83">
        <f t="shared" si="17"/>
        <v>2291770.95</v>
      </c>
      <c r="E89" s="83"/>
      <c r="F89" s="83"/>
      <c r="G89" s="83">
        <f t="shared" si="18"/>
        <v>2291771</v>
      </c>
      <c r="H89" s="83"/>
      <c r="I89" s="83">
        <f t="shared" si="19"/>
        <v>2291770.95</v>
      </c>
      <c r="J89" s="83">
        <f t="shared" si="20"/>
        <v>0</v>
      </c>
      <c r="K89" s="83">
        <f t="shared" si="21"/>
        <v>0</v>
      </c>
      <c r="L89" s="83">
        <f t="shared" si="22"/>
        <v>0</v>
      </c>
      <c r="M89" s="83"/>
      <c r="N89" s="83">
        <v>2291770.95</v>
      </c>
      <c r="O89" s="83">
        <v>0</v>
      </c>
      <c r="P89" s="83">
        <v>0</v>
      </c>
      <c r="Q89" s="83">
        <v>0</v>
      </c>
      <c r="R89" s="5"/>
      <c r="S89" s="5">
        <f>506823.45+1784947.5</f>
        <v>2291770.95</v>
      </c>
      <c r="T89" s="5">
        <v>0</v>
      </c>
      <c r="U89" s="5">
        <v>0</v>
      </c>
      <c r="V89" s="5">
        <v>0</v>
      </c>
      <c r="W89" s="5"/>
      <c r="X89" s="5"/>
      <c r="Y89" s="5"/>
      <c r="Z89" s="5"/>
      <c r="AA89" s="5"/>
      <c r="AB89" s="5"/>
    </row>
    <row r="90" spans="1:28" ht="15">
      <c r="A90" s="99">
        <f t="shared" si="23"/>
        <v>74</v>
      </c>
      <c r="B90" s="83" t="s">
        <v>613</v>
      </c>
      <c r="C90" s="83">
        <f t="shared" si="16"/>
        <v>0</v>
      </c>
      <c r="D90" s="83">
        <f t="shared" si="17"/>
        <v>6075806.2</v>
      </c>
      <c r="E90" s="83"/>
      <c r="F90" s="83"/>
      <c r="G90" s="83">
        <f t="shared" si="18"/>
        <v>3037903</v>
      </c>
      <c r="H90" s="83"/>
      <c r="I90" s="83">
        <f t="shared" si="19"/>
        <v>0</v>
      </c>
      <c r="J90" s="83">
        <f t="shared" si="20"/>
        <v>1185772</v>
      </c>
      <c r="K90" s="83">
        <f t="shared" si="21"/>
        <v>1852131.1</v>
      </c>
      <c r="L90" s="83">
        <f t="shared" si="22"/>
        <v>0</v>
      </c>
      <c r="M90" s="83"/>
      <c r="N90" s="83">
        <v>0</v>
      </c>
      <c r="O90" s="83">
        <v>0</v>
      </c>
      <c r="P90" s="83">
        <v>0</v>
      </c>
      <c r="Q90" s="83">
        <v>0</v>
      </c>
      <c r="R90" s="5"/>
      <c r="S90" s="5">
        <v>0</v>
      </c>
      <c r="T90" s="5">
        <f>1648096+723448</f>
        <v>2371544</v>
      </c>
      <c r="U90" s="5">
        <f>2315874+1388388.2</f>
        <v>3704262.2</v>
      </c>
      <c r="V90" s="5">
        <v>0</v>
      </c>
      <c r="W90" s="5"/>
      <c r="X90" s="5"/>
      <c r="Y90" s="5"/>
      <c r="Z90" s="5"/>
      <c r="AA90" s="5"/>
      <c r="AB90" s="5"/>
    </row>
    <row r="91" spans="1:28" ht="15">
      <c r="A91" s="99">
        <f t="shared" si="23"/>
        <v>75</v>
      </c>
      <c r="B91" s="83" t="s">
        <v>204</v>
      </c>
      <c r="C91" s="83">
        <f t="shared" si="16"/>
        <v>-41248.19000000018</v>
      </c>
      <c r="D91" s="83">
        <f t="shared" si="17"/>
        <v>222849.15999999997</v>
      </c>
      <c r="E91" s="83"/>
      <c r="F91" s="83"/>
      <c r="G91" s="83">
        <f t="shared" si="18"/>
        <v>90800</v>
      </c>
      <c r="H91" s="83"/>
      <c r="I91" s="83">
        <f t="shared" si="19"/>
        <v>-42101.840000000055</v>
      </c>
      <c r="J91" s="83">
        <f t="shared" si="20"/>
        <v>54299.675</v>
      </c>
      <c r="K91" s="83">
        <f t="shared" si="21"/>
        <v>78602.64999999995</v>
      </c>
      <c r="L91" s="83">
        <f t="shared" si="22"/>
        <v>0</v>
      </c>
      <c r="M91" s="83"/>
      <c r="N91" s="83">
        <f>-1374996.84+1333770</f>
        <v>-41226.840000000084</v>
      </c>
      <c r="O91" s="83">
        <f>-244055+244055</f>
        <v>0</v>
      </c>
      <c r="P91" s="83">
        <f>-1248821.35+1248800</f>
        <v>-21.350000000093132</v>
      </c>
      <c r="Q91" s="83">
        <v>0</v>
      </c>
      <c r="R91" s="5"/>
      <c r="S91" s="5">
        <f>-284746.84+243520-1750</f>
        <v>-42976.840000000026</v>
      </c>
      <c r="T91" s="5">
        <f>84799+25305-1504.65</f>
        <v>108599.35</v>
      </c>
      <c r="U91" s="5">
        <f>158550-1323.35</f>
        <v>157226.65</v>
      </c>
      <c r="V91" s="5">
        <v>0</v>
      </c>
      <c r="W91" s="5"/>
      <c r="X91" s="5"/>
      <c r="Y91" s="5"/>
      <c r="Z91" s="5"/>
      <c r="AA91" s="5"/>
      <c r="AB91" s="5"/>
    </row>
    <row r="92" spans="1:28" ht="15">
      <c r="A92" s="99">
        <f t="shared" si="23"/>
        <v>76</v>
      </c>
      <c r="B92" s="83" t="s">
        <v>205</v>
      </c>
      <c r="C92" s="83">
        <f t="shared" si="16"/>
        <v>0</v>
      </c>
      <c r="D92" s="83">
        <f t="shared" si="17"/>
        <v>0</v>
      </c>
      <c r="E92" s="83"/>
      <c r="F92" s="83"/>
      <c r="G92" s="83">
        <f t="shared" si="18"/>
        <v>0</v>
      </c>
      <c r="H92" s="83"/>
      <c r="I92" s="83">
        <f t="shared" si="19"/>
        <v>0</v>
      </c>
      <c r="J92" s="83">
        <f t="shared" si="20"/>
        <v>0</v>
      </c>
      <c r="K92" s="83">
        <f t="shared" si="21"/>
        <v>0</v>
      </c>
      <c r="L92" s="83">
        <f t="shared" si="22"/>
        <v>0</v>
      </c>
      <c r="M92" s="83"/>
      <c r="N92" s="83">
        <v>0</v>
      </c>
      <c r="O92" s="83">
        <v>0</v>
      </c>
      <c r="P92" s="83">
        <v>0</v>
      </c>
      <c r="Q92" s="83">
        <v>0</v>
      </c>
      <c r="R92" s="5"/>
      <c r="S92" s="5">
        <v>0</v>
      </c>
      <c r="T92" s="5">
        <v>0</v>
      </c>
      <c r="U92" s="5">
        <f>-298200+298200</f>
        <v>0</v>
      </c>
      <c r="V92" s="5">
        <v>0</v>
      </c>
      <c r="W92" s="5"/>
      <c r="X92" s="5"/>
      <c r="Y92" s="5"/>
      <c r="Z92" s="5"/>
      <c r="AA92" s="5"/>
      <c r="AB92" s="5"/>
    </row>
    <row r="93" spans="1:28" ht="15">
      <c r="A93" s="99">
        <f t="shared" si="23"/>
        <v>77</v>
      </c>
      <c r="B93" s="83" t="s">
        <v>614</v>
      </c>
      <c r="C93" s="83">
        <f t="shared" si="16"/>
        <v>328519.99999999965</v>
      </c>
      <c r="D93" s="83">
        <f t="shared" si="17"/>
        <v>1021799.75</v>
      </c>
      <c r="E93" s="83"/>
      <c r="F93" s="83"/>
      <c r="G93" s="83">
        <f t="shared" si="18"/>
        <v>675160</v>
      </c>
      <c r="H93" s="83"/>
      <c r="I93" s="83">
        <f t="shared" si="19"/>
        <v>151115.94999999984</v>
      </c>
      <c r="J93" s="83">
        <f t="shared" si="20"/>
        <v>20434.249999999985</v>
      </c>
      <c r="K93" s="83">
        <f t="shared" si="21"/>
        <v>502544.275</v>
      </c>
      <c r="L93" s="83">
        <f t="shared" si="22"/>
        <v>1065.4</v>
      </c>
      <c r="M93" s="83"/>
      <c r="N93" s="83">
        <f>-2608946.45+2765661.05</f>
        <v>156714.59999999963</v>
      </c>
      <c r="O93" s="83">
        <f>-320669.15+320188</f>
        <v>-481.1500000000233</v>
      </c>
      <c r="P93" s="83">
        <f>-640439.45+812726</f>
        <v>172286.55000000005</v>
      </c>
      <c r="Q93" s="83">
        <v>0</v>
      </c>
      <c r="R93" s="5"/>
      <c r="S93" s="5">
        <f>-919675.4+997233.05+67959.65</f>
        <v>145517.30000000002</v>
      </c>
      <c r="T93" s="5">
        <f>-131880.35+162417+10813</f>
        <v>41349.649999999994</v>
      </c>
      <c r="U93" s="5">
        <f>301852.6+496798+34151.4</f>
        <v>832802</v>
      </c>
      <c r="V93" s="5">
        <v>2130.8</v>
      </c>
      <c r="W93" s="5"/>
      <c r="X93" s="5"/>
      <c r="Y93" s="5"/>
      <c r="Z93" s="5"/>
      <c r="AA93" s="5"/>
      <c r="AB93" s="5"/>
    </row>
    <row r="94" spans="1:28" ht="15">
      <c r="A94" s="99">
        <f t="shared" si="23"/>
        <v>78</v>
      </c>
      <c r="B94" s="83" t="s">
        <v>615</v>
      </c>
      <c r="C94" s="83">
        <f t="shared" si="16"/>
        <v>2155610.45</v>
      </c>
      <c r="D94" s="83">
        <f t="shared" si="17"/>
        <v>1691721.5</v>
      </c>
      <c r="E94" s="83"/>
      <c r="F94" s="83"/>
      <c r="G94" s="83">
        <f t="shared" si="18"/>
        <v>1923666</v>
      </c>
      <c r="H94" s="83"/>
      <c r="I94" s="83">
        <f t="shared" si="19"/>
        <v>1583309.35</v>
      </c>
      <c r="J94" s="83">
        <f t="shared" si="20"/>
        <v>49758.45</v>
      </c>
      <c r="K94" s="83">
        <f t="shared" si="21"/>
        <v>290354.925</v>
      </c>
      <c r="L94" s="83">
        <f t="shared" si="22"/>
        <v>243.24999999999994</v>
      </c>
      <c r="M94" s="83"/>
      <c r="N94" s="83">
        <v>1523230.1</v>
      </c>
      <c r="O94" s="83">
        <v>45329.9</v>
      </c>
      <c r="P94" s="83">
        <v>585770.85</v>
      </c>
      <c r="Q94" s="83">
        <v>1279.6</v>
      </c>
      <c r="R94" s="5"/>
      <c r="S94" s="5">
        <f>908444.6+734944</f>
        <v>1643388.6</v>
      </c>
      <c r="T94" s="5">
        <f>-17453.8+71640.8</f>
        <v>54187</v>
      </c>
      <c r="U94" s="5">
        <f>-38853.15+33792.15</f>
        <v>-5061</v>
      </c>
      <c r="V94" s="5">
        <v>-793.1</v>
      </c>
      <c r="W94" s="5"/>
      <c r="X94" s="5"/>
      <c r="Y94" s="5"/>
      <c r="Z94" s="5"/>
      <c r="AA94" s="5"/>
      <c r="AB94" s="5"/>
    </row>
    <row r="95" spans="1:28" ht="15">
      <c r="A95" s="99">
        <f t="shared" si="23"/>
        <v>79</v>
      </c>
      <c r="B95" s="83" t="s">
        <v>616</v>
      </c>
      <c r="C95" s="83">
        <f t="shared" si="16"/>
        <v>-1837.5</v>
      </c>
      <c r="D95" s="83">
        <f t="shared" si="17"/>
        <v>154</v>
      </c>
      <c r="E95" s="83"/>
      <c r="F95" s="83"/>
      <c r="G95" s="83">
        <f t="shared" si="18"/>
        <v>-842</v>
      </c>
      <c r="H95" s="83"/>
      <c r="I95" s="83">
        <f t="shared" si="19"/>
        <v>0</v>
      </c>
      <c r="J95" s="83">
        <f t="shared" si="20"/>
        <v>0</v>
      </c>
      <c r="K95" s="83">
        <f t="shared" si="21"/>
        <v>-841.75</v>
      </c>
      <c r="L95" s="83">
        <f t="shared" si="22"/>
        <v>0</v>
      </c>
      <c r="M95" s="83"/>
      <c r="N95" s="83">
        <v>0</v>
      </c>
      <c r="O95" s="83">
        <v>0</v>
      </c>
      <c r="P95" s="83">
        <v>-1837.5</v>
      </c>
      <c r="Q95" s="83">
        <v>0</v>
      </c>
      <c r="R95" s="5"/>
      <c r="S95" s="5">
        <v>0</v>
      </c>
      <c r="T95" s="5">
        <v>0</v>
      </c>
      <c r="U95" s="5">
        <v>154</v>
      </c>
      <c r="V95" s="5">
        <v>0</v>
      </c>
      <c r="W95" s="5"/>
      <c r="X95" s="5"/>
      <c r="Y95" s="5"/>
      <c r="Z95" s="5"/>
      <c r="AA95" s="5"/>
      <c r="AB95" s="5"/>
    </row>
    <row r="96" spans="1:28" ht="15">
      <c r="A96" s="99">
        <f t="shared" si="23"/>
        <v>80</v>
      </c>
      <c r="B96" s="83" t="s">
        <v>617</v>
      </c>
      <c r="C96" s="83">
        <f t="shared" si="16"/>
        <v>19185.66</v>
      </c>
      <c r="D96" s="83">
        <f t="shared" si="17"/>
        <v>6884.08</v>
      </c>
      <c r="E96" s="83"/>
      <c r="F96" s="83"/>
      <c r="G96" s="83">
        <f t="shared" si="18"/>
        <v>13035</v>
      </c>
      <c r="H96" s="83"/>
      <c r="I96" s="83">
        <f t="shared" si="19"/>
        <v>0</v>
      </c>
      <c r="J96" s="83">
        <f t="shared" si="20"/>
        <v>0</v>
      </c>
      <c r="K96" s="83">
        <f t="shared" si="21"/>
        <v>0</v>
      </c>
      <c r="L96" s="83">
        <f t="shared" si="22"/>
        <v>13034.869999999999</v>
      </c>
      <c r="M96" s="83"/>
      <c r="N96" s="83">
        <v>0</v>
      </c>
      <c r="O96" s="83">
        <v>0</v>
      </c>
      <c r="P96" s="83">
        <v>0</v>
      </c>
      <c r="Q96" s="83">
        <v>19185.66</v>
      </c>
      <c r="R96" s="5"/>
      <c r="S96" s="5">
        <v>0</v>
      </c>
      <c r="T96" s="5">
        <v>0</v>
      </c>
      <c r="U96" s="5">
        <v>0</v>
      </c>
      <c r="V96" s="5">
        <v>6884.08</v>
      </c>
      <c r="W96" s="5"/>
      <c r="X96" s="5"/>
      <c r="Y96" s="5"/>
      <c r="Z96" s="5"/>
      <c r="AA96" s="5"/>
      <c r="AB96" s="5"/>
    </row>
    <row r="97" spans="1:28" ht="15">
      <c r="A97" s="99">
        <f t="shared" si="23"/>
        <v>81</v>
      </c>
      <c r="B97" s="83" t="s">
        <v>618</v>
      </c>
      <c r="C97" s="83">
        <f t="shared" si="16"/>
        <v>1164520</v>
      </c>
      <c r="D97" s="83">
        <f t="shared" si="17"/>
        <v>1060150</v>
      </c>
      <c r="E97" s="83"/>
      <c r="F97" s="83"/>
      <c r="G97" s="83">
        <f t="shared" si="18"/>
        <v>1112335</v>
      </c>
      <c r="H97" s="83"/>
      <c r="I97" s="83">
        <f t="shared" si="19"/>
        <v>1112335</v>
      </c>
      <c r="J97" s="83">
        <f t="shared" si="20"/>
        <v>0</v>
      </c>
      <c r="K97" s="83">
        <f t="shared" si="21"/>
        <v>0</v>
      </c>
      <c r="L97" s="83">
        <f t="shared" si="22"/>
        <v>0</v>
      </c>
      <c r="M97" s="83"/>
      <c r="N97" s="83">
        <v>1164520</v>
      </c>
      <c r="O97" s="83">
        <v>0</v>
      </c>
      <c r="P97" s="83">
        <v>0</v>
      </c>
      <c r="Q97" s="83">
        <v>0</v>
      </c>
      <c r="R97" s="5"/>
      <c r="S97" s="5">
        <v>1060150</v>
      </c>
      <c r="T97" s="5">
        <v>0</v>
      </c>
      <c r="U97" s="5">
        <v>0</v>
      </c>
      <c r="V97" s="5">
        <v>0</v>
      </c>
      <c r="W97" s="5"/>
      <c r="X97" s="5"/>
      <c r="Y97" s="5"/>
      <c r="Z97" s="5"/>
      <c r="AA97" s="5"/>
      <c r="AB97" s="5"/>
    </row>
    <row r="98" spans="1:28" ht="15">
      <c r="A98" s="99">
        <f t="shared" si="23"/>
        <v>82</v>
      </c>
      <c r="B98" s="83" t="s">
        <v>619</v>
      </c>
      <c r="C98" s="83">
        <f t="shared" si="16"/>
        <v>7559242.25</v>
      </c>
      <c r="D98" s="83">
        <f t="shared" si="17"/>
        <v>0</v>
      </c>
      <c r="E98" s="83"/>
      <c r="F98" s="83"/>
      <c r="G98" s="83">
        <f t="shared" si="18"/>
        <v>3779621</v>
      </c>
      <c r="H98" s="83"/>
      <c r="I98" s="83">
        <f t="shared" si="19"/>
        <v>3779621.125</v>
      </c>
      <c r="J98" s="83">
        <f t="shared" si="20"/>
        <v>0</v>
      </c>
      <c r="K98" s="83">
        <f t="shared" si="21"/>
        <v>0</v>
      </c>
      <c r="L98" s="83">
        <f t="shared" si="22"/>
        <v>0</v>
      </c>
      <c r="M98" s="83"/>
      <c r="N98" s="83">
        <v>7559242.25</v>
      </c>
      <c r="O98" s="83">
        <v>0</v>
      </c>
      <c r="P98" s="83">
        <v>0</v>
      </c>
      <c r="Q98" s="83">
        <v>0</v>
      </c>
      <c r="R98" s="5"/>
      <c r="S98" s="5">
        <v>0</v>
      </c>
      <c r="T98" s="5">
        <v>0</v>
      </c>
      <c r="U98" s="5">
        <v>0</v>
      </c>
      <c r="V98" s="5">
        <v>0</v>
      </c>
      <c r="W98" s="5"/>
      <c r="X98" s="5"/>
      <c r="Y98" s="5"/>
      <c r="Z98" s="5"/>
      <c r="AA98" s="5"/>
      <c r="AB98" s="5"/>
    </row>
    <row r="99" spans="1:28" ht="15">
      <c r="A99" s="99">
        <f t="shared" si="23"/>
        <v>83</v>
      </c>
      <c r="B99" s="83" t="s">
        <v>620</v>
      </c>
      <c r="C99" s="83">
        <f t="shared" si="16"/>
        <v>0</v>
      </c>
      <c r="D99" s="83">
        <f t="shared" si="17"/>
        <v>245</v>
      </c>
      <c r="E99" s="83"/>
      <c r="F99" s="83"/>
      <c r="G99" s="83">
        <f t="shared" si="18"/>
        <v>123</v>
      </c>
      <c r="H99" s="83"/>
      <c r="I99" s="83">
        <f t="shared" si="19"/>
        <v>0</v>
      </c>
      <c r="J99" s="83">
        <f t="shared" si="20"/>
        <v>0</v>
      </c>
      <c r="K99" s="83">
        <f t="shared" si="21"/>
        <v>122.5</v>
      </c>
      <c r="L99" s="83">
        <f t="shared" si="22"/>
        <v>0</v>
      </c>
      <c r="M99" s="83"/>
      <c r="N99" s="83">
        <v>0</v>
      </c>
      <c r="O99" s="83">
        <v>0</v>
      </c>
      <c r="P99" s="83">
        <v>0</v>
      </c>
      <c r="Q99" s="83">
        <v>0</v>
      </c>
      <c r="R99" s="5"/>
      <c r="S99" s="5">
        <v>0</v>
      </c>
      <c r="T99" s="5">
        <v>0</v>
      </c>
      <c r="U99" s="5">
        <v>245</v>
      </c>
      <c r="V99" s="5">
        <v>0</v>
      </c>
      <c r="W99" s="5"/>
      <c r="X99" s="5"/>
      <c r="Y99" s="5"/>
      <c r="Z99" s="5"/>
      <c r="AA99" s="5"/>
      <c r="AB99" s="5"/>
    </row>
    <row r="100" spans="1:28" ht="15">
      <c r="A100" s="99">
        <f t="shared" si="23"/>
        <v>84</v>
      </c>
      <c r="B100" s="83" t="s">
        <v>621</v>
      </c>
      <c r="C100" s="83">
        <f t="shared" si="16"/>
        <v>0</v>
      </c>
      <c r="D100" s="83">
        <f t="shared" si="17"/>
        <v>0.45</v>
      </c>
      <c r="E100" s="83"/>
      <c r="F100" s="83"/>
      <c r="G100" s="83">
        <f t="shared" si="18"/>
        <v>0</v>
      </c>
      <c r="H100" s="83"/>
      <c r="I100" s="83">
        <f t="shared" si="19"/>
        <v>0</v>
      </c>
      <c r="J100" s="83">
        <f t="shared" si="20"/>
        <v>0</v>
      </c>
      <c r="K100" s="83">
        <f t="shared" si="21"/>
        <v>0.225</v>
      </c>
      <c r="L100" s="83">
        <f t="shared" si="22"/>
        <v>0</v>
      </c>
      <c r="M100" s="83"/>
      <c r="N100" s="83">
        <v>0</v>
      </c>
      <c r="O100" s="83">
        <v>0</v>
      </c>
      <c r="P100" s="83">
        <v>0</v>
      </c>
      <c r="Q100" s="83">
        <v>0</v>
      </c>
      <c r="R100" s="5"/>
      <c r="S100" s="5">
        <v>0</v>
      </c>
      <c r="T100" s="5">
        <v>0</v>
      </c>
      <c r="U100" s="5">
        <v>0.45</v>
      </c>
      <c r="V100" s="5">
        <v>0</v>
      </c>
      <c r="W100" s="5"/>
      <c r="X100" s="5"/>
      <c r="Y100" s="5"/>
      <c r="Z100" s="5"/>
      <c r="AA100" s="5"/>
      <c r="AB100" s="5"/>
    </row>
    <row r="101" spans="1:28" ht="15">
      <c r="A101" s="99">
        <f t="shared" si="23"/>
        <v>85</v>
      </c>
      <c r="B101" s="83" t="s">
        <v>622</v>
      </c>
      <c r="C101" s="83">
        <f t="shared" si="16"/>
        <v>0</v>
      </c>
      <c r="D101" s="83">
        <f t="shared" si="17"/>
        <v>72.3</v>
      </c>
      <c r="E101" s="83"/>
      <c r="F101" s="83"/>
      <c r="G101" s="83">
        <f t="shared" si="18"/>
        <v>36</v>
      </c>
      <c r="H101" s="83"/>
      <c r="I101" s="83">
        <f t="shared" si="19"/>
        <v>0</v>
      </c>
      <c r="J101" s="83">
        <f t="shared" si="20"/>
        <v>0</v>
      </c>
      <c r="K101" s="83">
        <f t="shared" si="21"/>
        <v>36.15</v>
      </c>
      <c r="L101" s="83">
        <f t="shared" si="22"/>
        <v>0</v>
      </c>
      <c r="M101" s="83"/>
      <c r="N101" s="83">
        <v>0</v>
      </c>
      <c r="O101" s="83">
        <v>0</v>
      </c>
      <c r="P101" s="83">
        <v>0</v>
      </c>
      <c r="Q101" s="83">
        <v>0</v>
      </c>
      <c r="R101" s="5"/>
      <c r="S101" s="5">
        <v>0</v>
      </c>
      <c r="T101" s="5">
        <v>0</v>
      </c>
      <c r="U101" s="5">
        <f>72.45-0.15</f>
        <v>72.3</v>
      </c>
      <c r="V101" s="5">
        <v>0</v>
      </c>
      <c r="W101" s="5"/>
      <c r="X101" s="5"/>
      <c r="Y101" s="5"/>
      <c r="Z101" s="5"/>
      <c r="AA101" s="5"/>
      <c r="AB101" s="5"/>
    </row>
    <row r="102" spans="1:28" ht="15">
      <c r="A102" s="99">
        <f t="shared" si="23"/>
        <v>86</v>
      </c>
      <c r="B102" s="83" t="s">
        <v>623</v>
      </c>
      <c r="C102" s="83">
        <f t="shared" si="16"/>
        <v>0</v>
      </c>
      <c r="D102" s="83">
        <f t="shared" si="17"/>
        <v>1169988.75</v>
      </c>
      <c r="E102" s="83"/>
      <c r="F102" s="83"/>
      <c r="G102" s="83">
        <f t="shared" si="18"/>
        <v>584994</v>
      </c>
      <c r="H102" s="83"/>
      <c r="I102" s="83">
        <f t="shared" si="19"/>
        <v>0</v>
      </c>
      <c r="J102" s="83">
        <f t="shared" si="20"/>
        <v>0</v>
      </c>
      <c r="K102" s="83">
        <f t="shared" si="21"/>
        <v>584994.375</v>
      </c>
      <c r="L102" s="83">
        <f t="shared" si="22"/>
        <v>0</v>
      </c>
      <c r="M102" s="83"/>
      <c r="N102" s="83">
        <v>0</v>
      </c>
      <c r="O102" s="83">
        <v>0</v>
      </c>
      <c r="P102" s="83">
        <v>0</v>
      </c>
      <c r="Q102" s="83">
        <v>0</v>
      </c>
      <c r="R102" s="5"/>
      <c r="S102" s="5">
        <v>0</v>
      </c>
      <c r="T102" s="5">
        <v>0</v>
      </c>
      <c r="U102" s="5">
        <f>959478.8+210509.95</f>
        <v>1169988.75</v>
      </c>
      <c r="V102" s="5">
        <v>0</v>
      </c>
      <c r="W102" s="5"/>
      <c r="X102" s="5"/>
      <c r="Y102" s="5"/>
      <c r="Z102" s="5"/>
      <c r="AA102" s="5"/>
      <c r="AB102" s="5"/>
    </row>
    <row r="103" spans="1:28" ht="15">
      <c r="A103" s="99">
        <f t="shared" si="23"/>
        <v>87</v>
      </c>
      <c r="B103" s="83" t="s">
        <v>624</v>
      </c>
      <c r="C103" s="83">
        <f t="shared" si="16"/>
        <v>1954488.8</v>
      </c>
      <c r="D103" s="83">
        <f t="shared" si="17"/>
        <v>2105394.8</v>
      </c>
      <c r="E103" s="83"/>
      <c r="F103" s="83"/>
      <c r="G103" s="83">
        <f t="shared" si="18"/>
        <v>2029942</v>
      </c>
      <c r="H103" s="83"/>
      <c r="I103" s="83">
        <f t="shared" si="19"/>
        <v>0</v>
      </c>
      <c r="J103" s="83">
        <f t="shared" si="20"/>
        <v>0</v>
      </c>
      <c r="K103" s="83">
        <f t="shared" si="21"/>
        <v>2029941.7999999998</v>
      </c>
      <c r="L103" s="83">
        <f t="shared" si="22"/>
        <v>0</v>
      </c>
      <c r="M103" s="83"/>
      <c r="N103" s="83">
        <v>0</v>
      </c>
      <c r="O103" s="83">
        <v>0</v>
      </c>
      <c r="P103" s="83">
        <v>1954488.8</v>
      </c>
      <c r="Q103" s="83">
        <v>0</v>
      </c>
      <c r="R103" s="5"/>
      <c r="S103" s="5">
        <v>0</v>
      </c>
      <c r="T103" s="5">
        <v>0</v>
      </c>
      <c r="U103" s="5">
        <f>1519345.35+586049.45</f>
        <v>2105394.8</v>
      </c>
      <c r="V103" s="5">
        <v>0</v>
      </c>
      <c r="W103" s="5"/>
      <c r="X103" s="5"/>
      <c r="Y103" s="5"/>
      <c r="Z103" s="5"/>
      <c r="AA103" s="5"/>
      <c r="AB103" s="5"/>
    </row>
    <row r="104" spans="1:28" ht="15">
      <c r="A104" s="99">
        <f t="shared" si="23"/>
        <v>88</v>
      </c>
      <c r="B104" s="83" t="s">
        <v>445</v>
      </c>
      <c r="C104" s="83">
        <f t="shared" si="16"/>
        <v>13232618</v>
      </c>
      <c r="D104" s="83">
        <f t="shared" si="17"/>
        <v>14354</v>
      </c>
      <c r="E104" s="83"/>
      <c r="F104" s="83"/>
      <c r="G104" s="83">
        <f t="shared" si="18"/>
        <v>6623486</v>
      </c>
      <c r="H104" s="83"/>
      <c r="I104" s="83">
        <f t="shared" si="19"/>
        <v>6604717</v>
      </c>
      <c r="J104" s="83">
        <f t="shared" si="20"/>
        <v>10858</v>
      </c>
      <c r="K104" s="83">
        <f t="shared" si="21"/>
        <v>0.5</v>
      </c>
      <c r="L104" s="83">
        <f t="shared" si="22"/>
        <v>7910.5</v>
      </c>
      <c r="M104" s="83"/>
      <c r="N104" s="83">
        <v>13195080</v>
      </c>
      <c r="O104" s="83">
        <v>21716</v>
      </c>
      <c r="P104" s="83">
        <v>1</v>
      </c>
      <c r="Q104" s="83">
        <v>15821</v>
      </c>
      <c r="R104" s="5"/>
      <c r="S104" s="5">
        <v>14354</v>
      </c>
      <c r="T104" s="5">
        <v>0</v>
      </c>
      <c r="U104" s="5">
        <v>0</v>
      </c>
      <c r="V104" s="5">
        <v>0</v>
      </c>
      <c r="W104" s="5"/>
      <c r="X104" s="5"/>
      <c r="Y104" s="5"/>
      <c r="Z104" s="5"/>
      <c r="AA104" s="5"/>
      <c r="AB104" s="5"/>
    </row>
    <row r="105" spans="1:28" ht="15">
      <c r="A105" s="99">
        <f t="shared" si="23"/>
        <v>89</v>
      </c>
      <c r="B105" s="83" t="s">
        <v>105</v>
      </c>
      <c r="C105" s="83">
        <f t="shared" si="16"/>
        <v>28979691.299999997</v>
      </c>
      <c r="D105" s="83">
        <f t="shared" si="17"/>
        <v>33281857.05</v>
      </c>
      <c r="E105" s="83"/>
      <c r="F105" s="83"/>
      <c r="G105" s="83">
        <f t="shared" si="18"/>
        <v>31130774</v>
      </c>
      <c r="H105" s="83"/>
      <c r="I105" s="83">
        <f t="shared" si="19"/>
        <v>28555535.025</v>
      </c>
      <c r="J105" s="83">
        <f t="shared" si="20"/>
        <v>909708.15</v>
      </c>
      <c r="K105" s="83">
        <f t="shared" si="21"/>
        <v>1669671.5</v>
      </c>
      <c r="L105" s="83">
        <f t="shared" si="22"/>
        <v>-4140.5</v>
      </c>
      <c r="M105" s="83"/>
      <c r="N105" s="83">
        <f>-0.05+17974352.55+7852564.65</f>
        <v>25826917.15</v>
      </c>
      <c r="O105" s="83">
        <f>1038150.05-3.1</f>
        <v>1038146.9500000001</v>
      </c>
      <c r="P105" s="83">
        <v>2149736.05</v>
      </c>
      <c r="Q105" s="83">
        <v>-35108.85</v>
      </c>
      <c r="R105" s="5"/>
      <c r="S105" s="5">
        <f>10614158.45+17542280+1783136.95+1344577.5</f>
        <v>31284152.9</v>
      </c>
      <c r="T105" s="5">
        <f>-1+373986.55+407283.8</f>
        <v>781269.35</v>
      </c>
      <c r="U105" s="5">
        <f>390611.2+798995.75</f>
        <v>1189606.95</v>
      </c>
      <c r="V105" s="5">
        <v>26827.85</v>
      </c>
      <c r="W105" s="5"/>
      <c r="X105" s="5"/>
      <c r="Y105" s="5"/>
      <c r="Z105" s="5"/>
      <c r="AA105" s="5"/>
      <c r="AB105" s="5"/>
    </row>
    <row r="106" spans="1:28" ht="15">
      <c r="A106" s="99">
        <f t="shared" si="23"/>
        <v>90</v>
      </c>
      <c r="B106" s="83" t="s">
        <v>388</v>
      </c>
      <c r="C106" s="83">
        <f t="shared" si="16"/>
        <v>-238412.65</v>
      </c>
      <c r="D106" s="83">
        <f t="shared" si="17"/>
        <v>-414885.44999999995</v>
      </c>
      <c r="E106" s="83"/>
      <c r="F106" s="83"/>
      <c r="G106" s="83">
        <f t="shared" si="18"/>
        <v>-326649</v>
      </c>
      <c r="H106" s="83"/>
      <c r="I106" s="83">
        <f t="shared" si="19"/>
        <v>-361375</v>
      </c>
      <c r="J106" s="83">
        <f t="shared" si="20"/>
        <v>203.70000000000027</v>
      </c>
      <c r="K106" s="83">
        <f t="shared" si="21"/>
        <v>36036.35</v>
      </c>
      <c r="L106" s="83">
        <f t="shared" si="22"/>
        <v>-1514.1</v>
      </c>
      <c r="M106" s="83"/>
      <c r="N106" s="83">
        <v>-246451.8</v>
      </c>
      <c r="O106" s="83">
        <v>-4148.55</v>
      </c>
      <c r="P106" s="83">
        <v>13642.65</v>
      </c>
      <c r="Q106" s="83">
        <v>-1454.95</v>
      </c>
      <c r="R106" s="5"/>
      <c r="S106" s="5">
        <f>-409573.85-66724.35</f>
        <v>-476298.19999999995</v>
      </c>
      <c r="T106" s="5">
        <f>17144.4-12588.45</f>
        <v>4555.950000000001</v>
      </c>
      <c r="U106" s="5">
        <f>64481.55-6051.5</f>
        <v>58430.05</v>
      </c>
      <c r="V106" s="5">
        <v>-1573.25</v>
      </c>
      <c r="W106" s="5"/>
      <c r="X106" s="5"/>
      <c r="Y106" s="5"/>
      <c r="Z106" s="5"/>
      <c r="AA106" s="5"/>
      <c r="AB106" s="5"/>
    </row>
    <row r="107" spans="1:28" ht="15">
      <c r="A107" s="99">
        <f t="shared" si="23"/>
        <v>91</v>
      </c>
      <c r="B107" s="83" t="s">
        <v>213</v>
      </c>
      <c r="C107" s="83">
        <f t="shared" si="16"/>
        <v>5874567.05</v>
      </c>
      <c r="D107" s="83">
        <f t="shared" si="17"/>
        <v>-795396.38</v>
      </c>
      <c r="E107" s="83"/>
      <c r="F107" s="83"/>
      <c r="G107" s="83">
        <f t="shared" si="18"/>
        <v>2539585</v>
      </c>
      <c r="H107" s="83"/>
      <c r="I107" s="83">
        <f t="shared" si="19"/>
        <v>2169563.085</v>
      </c>
      <c r="J107" s="83">
        <f t="shared" si="20"/>
        <v>-1682.68</v>
      </c>
      <c r="K107" s="83">
        <f t="shared" si="21"/>
        <v>371704.93</v>
      </c>
      <c r="L107" s="83">
        <f t="shared" si="22"/>
        <v>0</v>
      </c>
      <c r="M107" s="83"/>
      <c r="N107" s="83">
        <v>4998940.09</v>
      </c>
      <c r="O107" s="83">
        <v>-2434.17</v>
      </c>
      <c r="P107" s="83">
        <v>878061.13</v>
      </c>
      <c r="Q107" s="83">
        <v>0</v>
      </c>
      <c r="R107" s="5"/>
      <c r="S107" s="5">
        <f>-538655.25-121158.67</f>
        <v>-659813.92</v>
      </c>
      <c r="T107" s="5">
        <v>-931.19</v>
      </c>
      <c r="U107" s="5">
        <f>-91142.1-43509.17</f>
        <v>-134651.27000000002</v>
      </c>
      <c r="V107" s="5">
        <v>0</v>
      </c>
      <c r="W107" s="5"/>
      <c r="X107" s="5"/>
      <c r="Y107" s="5"/>
      <c r="Z107" s="5"/>
      <c r="AA107" s="5"/>
      <c r="AB107" s="5"/>
    </row>
    <row r="108" spans="1:28" ht="15">
      <c r="A108" s="99">
        <f t="shared" si="23"/>
        <v>92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">
      <c r="A109" s="99">
        <f t="shared" si="23"/>
        <v>93</v>
      </c>
      <c r="B109" s="83" t="s">
        <v>25</v>
      </c>
      <c r="C109" s="83">
        <v>43464357.06</v>
      </c>
      <c r="D109" s="83">
        <v>31793781.63</v>
      </c>
      <c r="E109" s="83">
        <f aca="true" t="shared" si="24" ref="E109:F114">-C109</f>
        <v>-43464357.06</v>
      </c>
      <c r="F109" s="83">
        <f t="shared" si="24"/>
        <v>-31793781.63</v>
      </c>
      <c r="G109" s="83">
        <f aca="true" t="shared" si="25" ref="G109:G115">ROUND(SUM(C109:F109)/2,0)</f>
        <v>0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5">
      <c r="A110" s="99">
        <f t="shared" si="23"/>
        <v>94</v>
      </c>
      <c r="B110" s="83" t="s">
        <v>215</v>
      </c>
      <c r="C110" s="83">
        <v>-617037.23</v>
      </c>
      <c r="D110" s="83">
        <v>-1311113.6</v>
      </c>
      <c r="E110" s="83">
        <f t="shared" si="24"/>
        <v>617037.23</v>
      </c>
      <c r="F110" s="83">
        <f t="shared" si="24"/>
        <v>1311113.6</v>
      </c>
      <c r="G110" s="83">
        <f t="shared" si="25"/>
        <v>0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5">
      <c r="A111" s="99">
        <f t="shared" si="23"/>
        <v>95</v>
      </c>
      <c r="B111" s="83" t="s">
        <v>216</v>
      </c>
      <c r="C111" s="83">
        <v>451186.67</v>
      </c>
      <c r="D111" s="83">
        <v>1574384.23</v>
      </c>
      <c r="E111" s="83">
        <f t="shared" si="24"/>
        <v>-451186.67</v>
      </c>
      <c r="F111" s="83">
        <f t="shared" si="24"/>
        <v>-1574384.23</v>
      </c>
      <c r="G111" s="83">
        <f t="shared" si="25"/>
        <v>0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">
      <c r="A112" s="99">
        <f t="shared" si="23"/>
        <v>96</v>
      </c>
      <c r="B112" s="83" t="s">
        <v>217</v>
      </c>
      <c r="C112" s="83">
        <v>1145061.69</v>
      </c>
      <c r="D112" s="83">
        <v>337848.5</v>
      </c>
      <c r="E112" s="83">
        <f t="shared" si="24"/>
        <v>-1145061.69</v>
      </c>
      <c r="F112" s="83">
        <f t="shared" si="24"/>
        <v>-337848.5</v>
      </c>
      <c r="G112" s="83">
        <f t="shared" si="25"/>
        <v>0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">
      <c r="A113" s="99">
        <f t="shared" si="23"/>
        <v>97</v>
      </c>
      <c r="B113" s="83" t="s">
        <v>218</v>
      </c>
      <c r="C113" s="83">
        <v>107625962.15</v>
      </c>
      <c r="D113" s="83">
        <v>99312902.99</v>
      </c>
      <c r="E113" s="83">
        <f t="shared" si="24"/>
        <v>-107625962.15</v>
      </c>
      <c r="F113" s="83">
        <f t="shared" si="24"/>
        <v>-99312902.99</v>
      </c>
      <c r="G113" s="83">
        <f t="shared" si="25"/>
        <v>0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">
      <c r="A114" s="99">
        <f t="shared" si="23"/>
        <v>98</v>
      </c>
      <c r="B114" s="83" t="s">
        <v>625</v>
      </c>
      <c r="C114" s="83">
        <v>149301.6</v>
      </c>
      <c r="D114" s="83">
        <v>156766.68</v>
      </c>
      <c r="E114" s="83">
        <f t="shared" si="24"/>
        <v>-149301.6</v>
      </c>
      <c r="F114" s="83">
        <f t="shared" si="24"/>
        <v>-156766.68</v>
      </c>
      <c r="G114" s="83">
        <f t="shared" si="25"/>
        <v>0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">
      <c r="A115" s="99">
        <f t="shared" si="23"/>
        <v>99</v>
      </c>
      <c r="B115" s="83" t="s">
        <v>221</v>
      </c>
      <c r="C115" s="83">
        <v>4438000</v>
      </c>
      <c r="D115" s="83">
        <v>0</v>
      </c>
      <c r="E115" s="83"/>
      <c r="F115" s="83"/>
      <c r="G115" s="83">
        <f t="shared" si="25"/>
        <v>2219000</v>
      </c>
      <c r="H115" s="83"/>
      <c r="I115" s="83">
        <f>(+N115+S115)/2</f>
        <v>2219000</v>
      </c>
      <c r="J115" s="83">
        <f>(+O115+T115)/2</f>
        <v>0</v>
      </c>
      <c r="K115" s="83">
        <f>(+P115+U115)/2</f>
        <v>0</v>
      </c>
      <c r="L115" s="83">
        <f>(+Q115+V115)/2</f>
        <v>0</v>
      </c>
      <c r="M115" s="83"/>
      <c r="N115" s="83">
        <v>4438000</v>
      </c>
      <c r="O115" s="83"/>
      <c r="P115" s="83"/>
      <c r="Q115" s="8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5">
      <c r="A116" s="99">
        <f t="shared" si="23"/>
        <v>100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.75" thickBot="1">
      <c r="A117" s="99">
        <f t="shared" si="23"/>
        <v>101</v>
      </c>
      <c r="B117" s="83" t="s">
        <v>222</v>
      </c>
      <c r="C117" s="84">
        <f>SUM(C17:C116)</f>
        <v>565661912.93</v>
      </c>
      <c r="D117" s="84">
        <f>SUM(D17:D116)</f>
        <v>427211360.51</v>
      </c>
      <c r="E117" s="84">
        <f>SUM(E17:E116)</f>
        <v>-152218831.94</v>
      </c>
      <c r="F117" s="84">
        <f>SUM(F17:F116)</f>
        <v>-131864570.43</v>
      </c>
      <c r="G117" s="84">
        <f>SUM(G17:G116)</f>
        <v>354394933</v>
      </c>
      <c r="H117" s="84"/>
      <c r="I117" s="84">
        <f>SUM(I17:I116)</f>
        <v>226302219.51499996</v>
      </c>
      <c r="J117" s="84">
        <f>SUM(J17:J116)</f>
        <v>22325787.439999998</v>
      </c>
      <c r="K117" s="84">
        <f>SUM(K17:K116)</f>
        <v>102491836.39999996</v>
      </c>
      <c r="L117" s="84">
        <f>SUM(L17:L116)</f>
        <v>3275092.1800000006</v>
      </c>
      <c r="M117" s="84"/>
      <c r="N117" s="84">
        <f>SUM(N17:N116)</f>
        <v>283603795.53</v>
      </c>
      <c r="O117" s="84">
        <f>SUM(O17:O116)</f>
        <v>21157921.69</v>
      </c>
      <c r="P117" s="84">
        <f>SUM(P17:P116)</f>
        <v>104466344.55999999</v>
      </c>
      <c r="Q117" s="84">
        <f>SUM(Q17:Q116)</f>
        <v>4215019.210000001</v>
      </c>
      <c r="R117" s="5"/>
      <c r="S117" s="17">
        <f>SUM(S17:S116)</f>
        <v>169000643.50000006</v>
      </c>
      <c r="T117" s="17">
        <f>SUM(T17:T116)</f>
        <v>23493653.19</v>
      </c>
      <c r="U117" s="17">
        <f>SUM(U17:U116)</f>
        <v>100517328.24000002</v>
      </c>
      <c r="V117" s="17">
        <f>SUM(V17:V116)</f>
        <v>2335165.15</v>
      </c>
      <c r="W117" s="5"/>
      <c r="X117" s="5"/>
      <c r="Y117" s="5"/>
      <c r="Z117" s="5"/>
      <c r="AA117" s="5"/>
      <c r="AB117" s="5"/>
    </row>
    <row r="118" spans="1:28" ht="13.5" thickTop="1">
      <c r="A118" s="36"/>
      <c r="B118" s="5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5"/>
      <c r="S118" s="18"/>
      <c r="T118" s="18"/>
      <c r="U118" s="18"/>
      <c r="V118" s="18"/>
      <c r="W118" s="5"/>
      <c r="X118" s="5"/>
      <c r="Y118" s="5"/>
      <c r="Z118" s="5"/>
      <c r="AA118" s="5"/>
      <c r="AB118" s="5"/>
    </row>
    <row r="119" spans="1:28" ht="12.75">
      <c r="A119" s="36"/>
      <c r="B119" s="5"/>
      <c r="C119" s="5"/>
      <c r="D119" s="5" t="s">
        <v>24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>
      <c r="A120" s="36"/>
      <c r="B120" s="5"/>
      <c r="C120" s="5"/>
      <c r="D120" s="5" t="s">
        <v>24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>
      <c r="A121" s="36"/>
      <c r="B121" s="5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>
      <c r="A122" s="36"/>
      <c r="B122" s="5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>
      <c r="A123" s="36"/>
      <c r="B123" s="5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>
      <c r="A124" s="36"/>
      <c r="B124" s="5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>
      <c r="A125" s="36"/>
      <c r="B125" s="5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>
      <c r="A126" s="3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2:28" ht="12.75">
      <c r="B127" s="5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2:28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2:28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2:28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2:28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2:28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2:28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2:28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2:28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2:28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2:28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2:28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2:28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2:28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2:28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2:28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2:28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2:28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2:28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2:28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2:28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2:28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2:28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2:28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2:2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2:2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2:2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2:2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2:2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2:2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2:2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2:2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2:2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2:2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2:2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2:28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2:28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2:28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2:28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2:28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2:2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2:28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2:28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2:28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2:28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2:28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2:28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2:28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2:28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2:28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2:28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2:28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2:28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2:28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2:28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2:28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2:28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2:28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2:28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2:28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2:28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2:28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2:28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2:28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2:28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2:28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2:28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2:28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2:28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2:28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2:28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2:28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2:28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2:28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2:28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2:28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2:28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2:28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2:28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2:28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2:28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2:28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2:28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2:28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2:28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2:28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2:28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2:28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2:28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2:28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2:28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2:28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2:28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2:28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2:28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2:28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2:28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2:28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2:28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2:28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2:28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2:28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2:28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2:28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2:28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2:28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2:28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2:28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2:28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2:28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2:28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2:28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2:28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2:28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2:28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2:28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2:28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2:28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2:28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2:28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2:28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2:28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2:28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2:28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2:28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2:28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2:28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2:28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2:28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2:28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2:28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2:28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2:28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2:28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2:28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2:28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2:28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2:28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2:28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2:28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2:28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2:28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2:28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2:28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2:28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2:28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2:28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2:28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2:28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2:28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2:28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2:28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2:28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2:28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2:28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2:28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2:28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2:28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2:28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2:28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2:28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2:28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2:28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2:28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2:28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2:28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2:28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2:28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2:28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2:28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2:28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2:28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2:28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2:28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2:28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2:28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2:28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2:28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2:28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2:28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2:28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2:28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2:28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2:28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2:28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2:28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2:28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2:28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2:28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2:28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2:28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2:28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2:28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2:28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2:28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2:28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2:28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2:28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2:28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2:28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2:28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2:28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2:28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2:28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2:28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2:28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2:28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2:28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2:28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2:28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2:28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2:28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2:28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2:28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2:28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2:28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2:28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2:28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2:28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2:28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2:28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2:28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2:28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2:28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2:28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2:28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2:28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2:28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2:28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2:28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2:28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2:28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2:28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2:28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2:28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2:28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2:28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2:28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2:28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2:28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2:28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2:28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2:28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2:28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2:28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2:28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2:28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2:28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2:28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2:28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2:28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2:28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2:28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2:28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2:28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2:28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2:28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2:28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2:28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2:28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2:28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2:28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2:28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2:28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2:28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2:28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2:28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2:28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2:28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2:28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2:28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2:28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2:28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2:28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2:28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2:28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2:28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2:28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2:28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2:28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2:28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2:28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2:28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2:28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2:28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2:28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2:28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2:28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2:28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2:28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2:28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2:28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2:28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2:28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2:28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2:28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2:28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2:28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2:28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2:28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2:28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2:28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2:28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2:28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2:28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2:28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2:28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2:28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2:28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2:28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2:28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2:28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2:28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2:28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2:28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2:28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2:28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2:28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2:28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2:28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2:28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2:28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2:28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2:28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2:28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2:28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2:28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2:28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2:28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2:28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2:28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2:28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2:28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2:28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2:28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2:28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2:28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2:28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2:28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2:28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2:28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2:28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2:28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2:28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2:28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2:28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2:28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2:28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2:28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2:28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2:28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2:28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2:28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2:28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2:28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2:28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2:28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2:28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2:28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2:28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2:28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2:28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2:28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2:28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2:28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2:28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2:28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2:28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2:28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2:28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2:28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2:28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2:28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2:28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2:28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2:28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2:28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2:28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2:28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2:28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2:28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2:28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2:28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2:28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2:28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2:28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2:28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2:28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2:28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2:28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2:28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2:28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2:28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2:28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2:28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2:28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2:28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2:28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2:28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2:28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2:28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2:28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2:28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2:28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2:28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2:28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2:28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2:28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2:28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2:28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2:28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2:28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2:28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2:28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2:28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2:28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2:28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2:28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2:28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2:28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2:28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2:28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2:28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2:28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2:28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2:28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2:28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2:28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2:28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2:28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2:28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2:28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2:28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2:28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2:28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2:28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2:28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2:28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2:28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2:28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2:28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2:28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2:28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2:28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2:28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2:28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2:28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2:28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2:28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2:28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2:28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2:28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2:28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2:28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2:28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2:28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2:28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2:28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2:28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2:28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2:28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2:28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2:28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2:28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2:28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2:28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2:28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2:28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2:28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2:28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2:28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2:28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2:28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2:28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2:28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2:28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2:28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2:28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2:28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2:28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2:28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2:28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2:28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2:28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2:28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2:28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2:28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2:28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2:28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2:28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2:28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2:28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2:28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2:28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2:28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2:28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2:28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2:28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2:28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2:28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2:28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2:28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2:28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2:28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2:28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2:28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2:28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2:28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2:28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2:28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2:28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2:28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2:28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2:28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2:28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2:28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2:28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2:28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2:28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2:28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2:28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2:28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2:28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2:28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2:28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2:28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2:28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2:28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2:28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2:28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2:28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2:28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2:28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2:28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2:28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2:28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2:28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2:28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2:28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2:28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2:28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2:28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2:28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2:28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2:28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2:28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2:28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2:28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2:28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2:28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2:28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2:28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2:28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2:28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2:28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2:28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2:28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2:28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2:28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2:28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2:28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2:28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2:28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2:28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2:28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2:28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2:28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2:28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2:28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2:28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2:28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2:28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2:28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2:28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2:28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2:28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2:28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2:28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2:28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2:28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2:28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2:28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2:28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2:28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2:28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2:28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2:28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2:28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2:28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2:28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2:28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2:28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2:28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2:28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2:28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2:28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2:28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2:28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2:28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2:28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2:28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2:28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2:28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2:28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2:28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2:28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2:28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2:28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2:28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2:28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2:28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2:28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2:28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2:28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2:28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2:28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2:28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2:28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2:28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2:28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2:28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2:28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2:28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2:28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2:28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2:28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2:28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2:28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2:28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2:28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2:28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2:28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2:28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2:28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2:28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2:28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2:28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2:28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2:28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2:28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2:28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2:28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2:28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2:28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2:28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2:28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2:28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2:28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2:28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2:28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2:28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2:28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2:28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2:28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2:28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2:28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2:28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2:28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2:28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2:28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2:28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2:28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2:28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2:28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2:28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2:28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2:28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2:28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2:28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2:28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2:28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2:28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2:28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2:28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2:28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2:28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2:28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2:28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2:28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2:28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2:28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2:28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2:28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2:28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2:28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2:28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2:28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2:28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2:28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2:28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2:28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2:28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2:28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2:28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2:28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2:28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2:28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2:28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2:28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2:28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2:28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2:28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2:28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2:28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2:28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2:28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2:28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2:28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2:28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2:28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2:28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2:28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2:28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2:28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2:28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2:28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2:28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2:28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2:28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2:28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2:28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2:28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2:28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2:28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2:28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2:28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2:28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2:28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2:28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2:28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2:28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2:28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2:28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2:28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2:28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2:28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2:28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2:28" ht="12.7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2:28" ht="12.7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2:28" ht="12.7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2:28" ht="12.7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2:28" ht="12.7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2:28" ht="12.7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2:28" ht="12.7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2:28" ht="12.7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2:28" ht="12.7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2:28" ht="12.7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2:28" ht="12.7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2:28" ht="12.7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2:28" ht="12.7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2:28" ht="12.7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2:28" ht="12.7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2:28" ht="12.7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2:28" ht="12.7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2:28" ht="12.7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2:28" ht="12.7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2:28" ht="12.7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2:28" ht="12.7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2:28" ht="12.7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2:28" ht="12.7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2:28" ht="12.7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2:28" ht="12.7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2:28" ht="12.7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2:28" ht="12.7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2:28" ht="12.7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2:28" ht="12.7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2:28" ht="12.7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2:28" ht="12.7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2:28" ht="12.7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2:28" ht="12.7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2:28" ht="12.7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2:28" ht="12.7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2:28" ht="12.7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2:28" ht="12.7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2:28" ht="12.7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2:28" ht="12.7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2:28" ht="12.7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2:28" ht="12.7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2:28" ht="12.7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2:28" ht="12.7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2:28" ht="12.7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2:28" ht="12.7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2:28" ht="12.7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2:28" ht="12.7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2:28" ht="12.7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2:28" ht="12.7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2:28" ht="12.7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2:28" ht="12.7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2:28" ht="12.7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2:28" ht="12.7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2:28" ht="12.7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2:28" ht="12.7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2:28" ht="12.7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2:28" ht="12.7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2:28" ht="12.7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2:28" ht="12.7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2:28" ht="12.7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2:28" ht="12.7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2:28" ht="12.7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2:28" ht="12.7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2:28" ht="12.7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2:28" ht="12.7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2:28" ht="12.7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</sheetData>
  <sheetProtection/>
  <printOptions/>
  <pageMargins left="0.7" right="0.7" top="0.75" bottom="0.75" header="0.3" footer="0.3"/>
  <pageSetup fitToHeight="8" fitToWidth="4" horizontalDpi="600" verticalDpi="600" orientation="landscape" scale="50" r:id="rId3"/>
  <headerFooter alignWithMargins="0">
    <oddHeader>&amp;RSTATEMENT AG-3-2
Page &amp;P of &amp;N</oddHeader>
  </headerFooter>
  <rowBreaks count="1" manualBreakCount="1">
    <brk id="63" max="21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37"/>
  <sheetViews>
    <sheetView showOutlineSymbols="0" zoomScale="75" zoomScaleNormal="75" workbookViewId="0" topLeftCell="A1">
      <selection activeCell="A1" sqref="A1"/>
    </sheetView>
  </sheetViews>
  <sheetFormatPr defaultColWidth="12.7109375" defaultRowHeight="12.75"/>
  <cols>
    <col min="1" max="1" width="4.57421875" style="7" customWidth="1"/>
    <col min="2" max="2" width="51.28125" style="2" customWidth="1"/>
    <col min="3" max="3" width="19.00390625" style="2" customWidth="1"/>
    <col min="4" max="4" width="13.00390625" style="2" customWidth="1"/>
    <col min="5" max="5" width="14.421875" style="2" customWidth="1"/>
    <col min="6" max="6" width="15.57421875" style="2" customWidth="1"/>
    <col min="7" max="7" width="14.7109375" style="2" customWidth="1"/>
    <col min="8" max="8" width="3.140625" style="2" customWidth="1"/>
    <col min="9" max="9" width="13.28125" style="2" customWidth="1"/>
    <col min="10" max="10" width="14.140625" style="2" customWidth="1"/>
    <col min="11" max="11" width="13.8515625" style="2" customWidth="1"/>
    <col min="12" max="12" width="2.28125" style="2" customWidth="1"/>
    <col min="13" max="13" width="13.28125" style="2" customWidth="1"/>
    <col min="14" max="14" width="14.8515625" style="2" customWidth="1"/>
    <col min="15" max="15" width="14.00390625" style="2" customWidth="1"/>
    <col min="16" max="16" width="2.57421875" style="2" customWidth="1"/>
    <col min="17" max="17" width="13.00390625" style="2" hidden="1" customWidth="1"/>
    <col min="18" max="18" width="14.57421875" style="2" hidden="1" customWidth="1"/>
    <col min="19" max="19" width="16.8515625" style="2" hidden="1" customWidth="1"/>
    <col min="20" max="16384" width="12.7109375" style="2" customWidth="1"/>
  </cols>
  <sheetData>
    <row r="1" spans="2:19" ht="12.75">
      <c r="B1" s="20" t="s">
        <v>626</v>
      </c>
      <c r="G1" s="1"/>
      <c r="H1" s="1"/>
      <c r="I1" s="1"/>
      <c r="J1" s="1"/>
      <c r="K1" s="1"/>
      <c r="L1" s="1"/>
      <c r="S1" s="1"/>
    </row>
    <row r="2" spans="2:19" ht="12.75">
      <c r="B2" s="20" t="s">
        <v>0</v>
      </c>
      <c r="G2" s="1"/>
      <c r="H2" s="1"/>
      <c r="I2" s="1"/>
      <c r="J2" s="1"/>
      <c r="K2" s="1"/>
      <c r="L2" s="1"/>
      <c r="S2" s="3"/>
    </row>
    <row r="3" ht="12.75">
      <c r="B3" s="20" t="s">
        <v>127</v>
      </c>
    </row>
    <row r="4" spans="7:12" ht="12.75">
      <c r="G4" s="8" t="s">
        <v>1</v>
      </c>
      <c r="H4" s="8"/>
      <c r="I4" s="8"/>
      <c r="J4" s="8"/>
      <c r="K4" s="8"/>
      <c r="L4" s="8"/>
    </row>
    <row r="5" ht="12.75">
      <c r="B5" s="9"/>
    </row>
    <row r="8" spans="2:19" ht="12.7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60</v>
      </c>
      <c r="O8" s="4" t="s">
        <v>61</v>
      </c>
      <c r="Q8" s="4" t="s">
        <v>62</v>
      </c>
      <c r="R8" s="4" t="s">
        <v>63</v>
      </c>
      <c r="S8" s="4" t="s">
        <v>64</v>
      </c>
    </row>
    <row r="10" spans="3:19" ht="12.7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66</v>
      </c>
      <c r="J10" s="10"/>
      <c r="K10" s="10"/>
      <c r="L10" s="12"/>
      <c r="M10" s="13" t="s">
        <v>129</v>
      </c>
      <c r="N10" s="10"/>
      <c r="O10" s="10"/>
      <c r="Q10" s="13" t="s">
        <v>123</v>
      </c>
      <c r="R10" s="10"/>
      <c r="S10" s="10"/>
    </row>
    <row r="11" spans="3:19" ht="12.7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3:12" ht="12.7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2:19" ht="12.75">
      <c r="B13" s="4" t="s">
        <v>18</v>
      </c>
      <c r="C13" s="4" t="s">
        <v>128</v>
      </c>
      <c r="D13" s="4" t="s">
        <v>122</v>
      </c>
      <c r="E13" s="4" t="s">
        <v>128</v>
      </c>
      <c r="F13" s="4" t="s">
        <v>122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4" spans="1:18" ht="12.7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9" ht="12.75">
      <c r="A15" s="16">
        <v>1</v>
      </c>
      <c r="B15" s="1" t="s">
        <v>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16">
        <f aca="true" t="shared" si="0" ref="A16:A47">A15+1</f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16">
        <f t="shared" si="0"/>
        <v>3</v>
      </c>
      <c r="B17" s="3" t="s">
        <v>437</v>
      </c>
      <c r="C17" s="5">
        <f aca="true" t="shared" si="1" ref="C17:C26">SUM(M17:O17)</f>
        <v>19909866.25</v>
      </c>
      <c r="D17" s="5">
        <f aca="true" t="shared" si="2" ref="D17:D26">SUM(Q17:S17)</f>
        <v>12836737.100000001</v>
      </c>
      <c r="E17" s="5"/>
      <c r="F17" s="5"/>
      <c r="G17" s="5">
        <f aca="true" t="shared" si="3" ref="G17:G28">ROUND(SUM(C17:F17)/2,0)</f>
        <v>16373302</v>
      </c>
      <c r="H17" s="5"/>
      <c r="I17" s="5">
        <v>0</v>
      </c>
      <c r="J17" s="5">
        <f aca="true" t="shared" si="4" ref="J17:J26">(+N17+R17)/2</f>
        <v>4761645</v>
      </c>
      <c r="K17" s="5">
        <f aca="true" t="shared" si="5" ref="K17:K26">(+O17+S17)/2</f>
        <v>11611656.675</v>
      </c>
      <c r="L17" s="5"/>
      <c r="M17" s="5"/>
      <c r="N17" s="5">
        <f>7342079.05+738</f>
        <v>7342817.05</v>
      </c>
      <c r="O17" s="5">
        <f>12562971.2+4078</f>
        <v>12567049.2</v>
      </c>
      <c r="P17" s="5"/>
      <c r="Q17" s="5"/>
      <c r="R17" s="5">
        <f>2179464.95+1008</f>
        <v>2180472.95</v>
      </c>
      <c r="S17" s="5">
        <f>10648288.15+7976</f>
        <v>10656264.15</v>
      </c>
    </row>
    <row r="18" spans="1:19" ht="12.75">
      <c r="A18" s="16">
        <f t="shared" si="0"/>
        <v>4</v>
      </c>
      <c r="B18" s="3" t="s">
        <v>627</v>
      </c>
      <c r="C18" s="5">
        <f t="shared" si="1"/>
        <v>4847.85</v>
      </c>
      <c r="D18" s="5">
        <f t="shared" si="2"/>
        <v>5331.55</v>
      </c>
      <c r="E18" s="5"/>
      <c r="F18" s="5"/>
      <c r="G18" s="5">
        <f t="shared" si="3"/>
        <v>5090</v>
      </c>
      <c r="H18" s="5"/>
      <c r="I18" s="5">
        <v>0</v>
      </c>
      <c r="J18" s="5">
        <f t="shared" si="4"/>
        <v>2479.225</v>
      </c>
      <c r="K18" s="5">
        <f t="shared" si="5"/>
        <v>2610.4750000000004</v>
      </c>
      <c r="L18" s="5"/>
      <c r="M18" s="5"/>
      <c r="N18" s="5">
        <v>2361.45</v>
      </c>
      <c r="O18" s="5">
        <v>2486.4</v>
      </c>
      <c r="P18" s="5"/>
      <c r="Q18" s="5"/>
      <c r="R18" s="5">
        <v>2597</v>
      </c>
      <c r="S18" s="5">
        <v>2734.55</v>
      </c>
    </row>
    <row r="19" spans="1:19" ht="12.75">
      <c r="A19" s="16">
        <f t="shared" si="0"/>
        <v>5</v>
      </c>
      <c r="B19" s="3" t="s">
        <v>628</v>
      </c>
      <c r="C19" s="5">
        <f t="shared" si="1"/>
        <v>7947.1</v>
      </c>
      <c r="D19" s="5">
        <f t="shared" si="2"/>
        <v>8727.95</v>
      </c>
      <c r="E19" s="5"/>
      <c r="F19" s="5"/>
      <c r="G19" s="5">
        <f t="shared" si="3"/>
        <v>8338</v>
      </c>
      <c r="H19" s="5"/>
      <c r="I19" s="5">
        <v>0</v>
      </c>
      <c r="J19" s="5">
        <f t="shared" si="4"/>
        <v>0</v>
      </c>
      <c r="K19" s="5">
        <f t="shared" si="5"/>
        <v>8337.525000000001</v>
      </c>
      <c r="L19" s="5"/>
      <c r="M19" s="5"/>
      <c r="N19" s="5">
        <v>0</v>
      </c>
      <c r="O19" s="6">
        <v>7947.1</v>
      </c>
      <c r="P19" s="5"/>
      <c r="Q19" s="5"/>
      <c r="R19" s="5">
        <v>0</v>
      </c>
      <c r="S19" s="6">
        <v>8727.95</v>
      </c>
    </row>
    <row r="20" spans="1:19" ht="12.75">
      <c r="A20" s="16">
        <f t="shared" si="0"/>
        <v>6</v>
      </c>
      <c r="B20" s="3" t="s">
        <v>629</v>
      </c>
      <c r="C20" s="5">
        <f t="shared" si="1"/>
        <v>-701.56</v>
      </c>
      <c r="D20" s="5">
        <f t="shared" si="2"/>
        <v>-409.31</v>
      </c>
      <c r="E20" s="5"/>
      <c r="F20" s="5"/>
      <c r="G20" s="5">
        <f t="shared" si="3"/>
        <v>-555</v>
      </c>
      <c r="H20" s="5"/>
      <c r="I20" s="5">
        <v>0</v>
      </c>
      <c r="J20" s="5">
        <f t="shared" si="4"/>
        <v>-296.45</v>
      </c>
      <c r="K20" s="5">
        <f t="shared" si="5"/>
        <v>-258.985</v>
      </c>
      <c r="L20" s="5"/>
      <c r="M20" s="5"/>
      <c r="N20" s="5">
        <v>-338.8</v>
      </c>
      <c r="O20" s="5">
        <v>-362.76</v>
      </c>
      <c r="P20" s="5"/>
      <c r="Q20" s="5"/>
      <c r="R20" s="5">
        <v>-254.1</v>
      </c>
      <c r="S20" s="5">
        <v>-155.21</v>
      </c>
    </row>
    <row r="21" spans="1:19" ht="12.75">
      <c r="A21" s="16">
        <f t="shared" si="0"/>
        <v>7</v>
      </c>
      <c r="B21" s="3" t="s">
        <v>107</v>
      </c>
      <c r="C21" s="5">
        <f t="shared" si="1"/>
        <v>1023608.47</v>
      </c>
      <c r="D21" s="5">
        <f t="shared" si="2"/>
        <v>1103935.1700000002</v>
      </c>
      <c r="E21" s="5"/>
      <c r="F21" s="5"/>
      <c r="G21" s="5">
        <f t="shared" si="3"/>
        <v>1063772</v>
      </c>
      <c r="H21" s="5"/>
      <c r="I21" s="5">
        <f>(+M21+Q21)/2</f>
        <v>0</v>
      </c>
      <c r="J21" s="5">
        <f t="shared" si="4"/>
        <v>200900.925</v>
      </c>
      <c r="K21" s="5">
        <f t="shared" si="5"/>
        <v>862870.895</v>
      </c>
      <c r="L21" s="5"/>
      <c r="M21" s="5"/>
      <c r="N21" s="5">
        <f>289568.8-114269</f>
        <v>175299.8</v>
      </c>
      <c r="O21" s="6">
        <f>1315862.67-467554</f>
        <v>848308.6699999999</v>
      </c>
      <c r="P21" s="5"/>
      <c r="Q21" s="5"/>
      <c r="R21" s="5">
        <f>331826.05-105324</f>
        <v>226502.05</v>
      </c>
      <c r="S21" s="6">
        <f>1300878.12-423445</f>
        <v>877433.1200000001</v>
      </c>
    </row>
    <row r="22" spans="1:19" ht="12.75">
      <c r="A22" s="16">
        <f t="shared" si="0"/>
        <v>8</v>
      </c>
      <c r="B22" s="1" t="s">
        <v>31</v>
      </c>
      <c r="C22" s="5">
        <f t="shared" si="1"/>
        <v>247706.72000000003</v>
      </c>
      <c r="D22" s="5">
        <f t="shared" si="2"/>
        <v>231067.06000000003</v>
      </c>
      <c r="E22" s="5"/>
      <c r="F22" s="5"/>
      <c r="G22" s="5">
        <f t="shared" si="3"/>
        <v>239387</v>
      </c>
      <c r="H22" s="5"/>
      <c r="I22" s="5">
        <f>(+M22+Q22)/2</f>
        <v>0</v>
      </c>
      <c r="J22" s="5">
        <f t="shared" si="4"/>
        <v>49191.560000000005</v>
      </c>
      <c r="K22" s="5">
        <f t="shared" si="5"/>
        <v>190195.33000000002</v>
      </c>
      <c r="L22" s="5"/>
      <c r="M22" s="5"/>
      <c r="N22" s="6">
        <f>76555.46-21013</f>
        <v>55542.46000000001</v>
      </c>
      <c r="O22" s="6">
        <f>275651.26-83487</f>
        <v>192164.26</v>
      </c>
      <c r="P22" s="5"/>
      <c r="Q22" s="5"/>
      <c r="R22" s="6">
        <f>61594.66-18754</f>
        <v>42840.66</v>
      </c>
      <c r="S22" s="6">
        <f>262747.4-74521</f>
        <v>188226.40000000002</v>
      </c>
    </row>
    <row r="23" spans="1:19" ht="12.75">
      <c r="A23" s="16">
        <f t="shared" si="0"/>
        <v>9</v>
      </c>
      <c r="B23" s="1" t="s">
        <v>34</v>
      </c>
      <c r="C23" s="5">
        <f t="shared" si="1"/>
        <v>1478.45</v>
      </c>
      <c r="D23" s="5">
        <f t="shared" si="2"/>
        <v>2456</v>
      </c>
      <c r="E23" s="5"/>
      <c r="F23" s="5"/>
      <c r="G23" s="5">
        <f t="shared" si="3"/>
        <v>1967</v>
      </c>
      <c r="H23" s="5"/>
      <c r="I23" s="5">
        <f>(+M23+Q23)/2</f>
        <v>0</v>
      </c>
      <c r="J23" s="5">
        <f t="shared" si="4"/>
        <v>455.575</v>
      </c>
      <c r="K23" s="5">
        <f t="shared" si="5"/>
        <v>1511.65</v>
      </c>
      <c r="L23" s="5"/>
      <c r="M23" s="5"/>
      <c r="N23" s="5">
        <v>343.75</v>
      </c>
      <c r="O23" s="5">
        <v>1134.7</v>
      </c>
      <c r="P23" s="5"/>
      <c r="Q23" s="5"/>
      <c r="R23" s="5">
        <v>567.4</v>
      </c>
      <c r="S23" s="5">
        <v>1888.6</v>
      </c>
    </row>
    <row r="24" spans="1:19" ht="12.75">
      <c r="A24" s="16">
        <f t="shared" si="0"/>
        <v>10</v>
      </c>
      <c r="B24" s="3" t="s">
        <v>630</v>
      </c>
      <c r="C24" s="5">
        <f t="shared" si="1"/>
        <v>198526.44999999998</v>
      </c>
      <c r="D24" s="5">
        <f t="shared" si="2"/>
        <v>179812.65</v>
      </c>
      <c r="E24" s="5"/>
      <c r="F24" s="5"/>
      <c r="G24" s="5">
        <f t="shared" si="3"/>
        <v>189170</v>
      </c>
      <c r="H24" s="5"/>
      <c r="I24" s="5">
        <v>0</v>
      </c>
      <c r="J24" s="5">
        <f t="shared" si="4"/>
        <v>-3304.0999999999995</v>
      </c>
      <c r="K24" s="5">
        <f t="shared" si="5"/>
        <v>192473.65</v>
      </c>
      <c r="L24" s="5"/>
      <c r="M24" s="5"/>
      <c r="N24" s="5">
        <f>10727.15-215</f>
        <v>10512.15</v>
      </c>
      <c r="O24" s="5">
        <f>241527.3-53513</f>
        <v>188014.3</v>
      </c>
      <c r="P24" s="5"/>
      <c r="Q24" s="5"/>
      <c r="R24" s="5">
        <f>-17738.35+618</f>
        <v>-17120.35</v>
      </c>
      <c r="S24" s="5">
        <f>242410-45477</f>
        <v>196933</v>
      </c>
    </row>
    <row r="25" spans="1:19" ht="12.75">
      <c r="A25" s="16">
        <f t="shared" si="0"/>
        <v>11</v>
      </c>
      <c r="B25" s="3" t="s">
        <v>91</v>
      </c>
      <c r="C25" s="5">
        <f t="shared" si="1"/>
        <v>48842.37</v>
      </c>
      <c r="D25" s="5">
        <f t="shared" si="2"/>
        <v>54122.65</v>
      </c>
      <c r="E25" s="5"/>
      <c r="F25" s="5"/>
      <c r="G25" s="5">
        <f t="shared" si="3"/>
        <v>51483</v>
      </c>
      <c r="H25" s="5"/>
      <c r="I25" s="5">
        <v>0</v>
      </c>
      <c r="J25" s="5">
        <f t="shared" si="4"/>
        <v>0</v>
      </c>
      <c r="K25" s="5">
        <f t="shared" si="5"/>
        <v>51482.51</v>
      </c>
      <c r="L25" s="5"/>
      <c r="M25" s="5"/>
      <c r="N25" s="5">
        <v>0</v>
      </c>
      <c r="O25" s="5">
        <v>48842.37</v>
      </c>
      <c r="P25" s="5"/>
      <c r="Q25" s="5"/>
      <c r="R25" s="5">
        <v>0</v>
      </c>
      <c r="S25" s="5">
        <v>54122.65</v>
      </c>
    </row>
    <row r="26" spans="1:19" ht="12.75">
      <c r="A26" s="16">
        <f t="shared" si="0"/>
        <v>12</v>
      </c>
      <c r="B26" s="3" t="s">
        <v>112</v>
      </c>
      <c r="C26" s="5">
        <f t="shared" si="1"/>
        <v>2074.8</v>
      </c>
      <c r="D26" s="5">
        <f t="shared" si="2"/>
        <v>2074.8</v>
      </c>
      <c r="E26" s="5"/>
      <c r="F26" s="5"/>
      <c r="G26" s="5">
        <f t="shared" si="3"/>
        <v>2075</v>
      </c>
      <c r="H26" s="5"/>
      <c r="I26" s="5">
        <v>0</v>
      </c>
      <c r="J26" s="5">
        <f t="shared" si="4"/>
        <v>0</v>
      </c>
      <c r="K26" s="5">
        <f t="shared" si="5"/>
        <v>2074.8</v>
      </c>
      <c r="L26" s="5"/>
      <c r="M26" s="5"/>
      <c r="N26" s="5">
        <v>0</v>
      </c>
      <c r="O26" s="5">
        <v>2074.8</v>
      </c>
      <c r="P26" s="5"/>
      <c r="Q26" s="5"/>
      <c r="R26" s="5">
        <v>0</v>
      </c>
      <c r="S26" s="5">
        <v>2074.8</v>
      </c>
    </row>
    <row r="27" spans="1:19" ht="12.75">
      <c r="A27" s="16">
        <f t="shared" si="0"/>
        <v>13</v>
      </c>
      <c r="B27" s="1" t="s">
        <v>38</v>
      </c>
      <c r="C27" s="5">
        <v>4487874</v>
      </c>
      <c r="D27" s="5">
        <v>4140698.79</v>
      </c>
      <c r="E27" s="5">
        <f>-C27</f>
        <v>-4487874</v>
      </c>
      <c r="F27" s="5">
        <f>-D27</f>
        <v>-4140698.79</v>
      </c>
      <c r="G27" s="5">
        <f t="shared" si="3"/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16">
        <f t="shared" si="0"/>
        <v>14</v>
      </c>
      <c r="B28" s="1" t="s">
        <v>39</v>
      </c>
      <c r="C28" s="5">
        <v>-4816</v>
      </c>
      <c r="D28" s="5">
        <v>-8984</v>
      </c>
      <c r="E28" s="5">
        <f>-C28</f>
        <v>4816</v>
      </c>
      <c r="F28" s="5">
        <f>-D28</f>
        <v>8984</v>
      </c>
      <c r="G28" s="5">
        <f t="shared" si="3"/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16">
        <f t="shared" si="0"/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 thickBot="1">
      <c r="A30" s="16">
        <f t="shared" si="0"/>
        <v>16</v>
      </c>
      <c r="B30" s="1" t="s">
        <v>40</v>
      </c>
      <c r="C30" s="17">
        <f>SUM(C17:C29)</f>
        <v>25927254.900000002</v>
      </c>
      <c r="D30" s="17">
        <f>SUM(D17:D29)</f>
        <v>18555570.410000004</v>
      </c>
      <c r="E30" s="17">
        <f>SUM(E17:E29)</f>
        <v>-4483058</v>
      </c>
      <c r="F30" s="17">
        <f>SUM(F17:F29)</f>
        <v>-4131714.79</v>
      </c>
      <c r="G30" s="17">
        <f>SUM(G17:G29)</f>
        <v>17934029</v>
      </c>
      <c r="H30" s="17"/>
      <c r="I30" s="17">
        <f>SUM(I17:I29)</f>
        <v>0</v>
      </c>
      <c r="J30" s="17">
        <f>SUM(J17:J29)</f>
        <v>5011071.734999999</v>
      </c>
      <c r="K30" s="17">
        <f>SUM(K17:K29)</f>
        <v>12922954.525000002</v>
      </c>
      <c r="L30" s="17"/>
      <c r="M30" s="17">
        <f>SUM(M17:M29)</f>
        <v>0</v>
      </c>
      <c r="N30" s="17">
        <f>SUM(N17:N29)</f>
        <v>7586537.86</v>
      </c>
      <c r="O30" s="17">
        <f>SUM(O17:O29)</f>
        <v>13857659.04</v>
      </c>
      <c r="P30" s="5"/>
      <c r="Q30" s="17">
        <f>SUM(Q17:Q29)</f>
        <v>0</v>
      </c>
      <c r="R30" s="17">
        <f>SUM(R17:R29)</f>
        <v>2435605.61</v>
      </c>
      <c r="S30" s="17">
        <f>SUM(S17:S29)</f>
        <v>11988250.01</v>
      </c>
    </row>
    <row r="31" spans="1:19" ht="13.5" thickTop="1">
      <c r="A31" s="16">
        <f t="shared" si="0"/>
        <v>17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5"/>
      <c r="Q31" s="18"/>
      <c r="R31" s="18"/>
      <c r="S31" s="18"/>
    </row>
    <row r="32" spans="1:19" ht="12.75">
      <c r="A32" s="16">
        <f t="shared" si="0"/>
        <v>18</v>
      </c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16">
        <f t="shared" si="0"/>
        <v>19</v>
      </c>
      <c r="B33" s="3" t="s">
        <v>65</v>
      </c>
      <c r="C33" s="5" t="s">
        <v>24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>
      <c r="A34" s="16">
        <f t="shared" si="0"/>
        <v>20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16">
        <f t="shared" si="0"/>
        <v>21</v>
      </c>
      <c r="B35" s="3" t="s">
        <v>57</v>
      </c>
      <c r="C35" s="5">
        <f aca="true" t="shared" si="6" ref="C35:C45">SUM(M35:O35)</f>
        <v>2384826.6799999997</v>
      </c>
      <c r="D35" s="5">
        <f aca="true" t="shared" si="7" ref="D35:D45">SUM(Q35:S35)</f>
        <v>2143608.89</v>
      </c>
      <c r="E35" s="5"/>
      <c r="F35" s="5"/>
      <c r="G35" s="5">
        <f aca="true" t="shared" si="8" ref="G35:G47">ROUND(SUM(C35:F35)/2,0)</f>
        <v>2264218</v>
      </c>
      <c r="H35" s="5"/>
      <c r="I35" s="5">
        <f aca="true" t="shared" si="9" ref="I35:I45">(+M35+Q35)/2</f>
        <v>0</v>
      </c>
      <c r="J35" s="5">
        <f aca="true" t="shared" si="10" ref="J35:J45">(+N35+R35)/2</f>
        <v>272422.635</v>
      </c>
      <c r="K35" s="5">
        <f aca="true" t="shared" si="11" ref="K35:K45">(+O35+S35)/2</f>
        <v>1991795.15</v>
      </c>
      <c r="L35" s="5"/>
      <c r="M35" s="5"/>
      <c r="N35" s="6">
        <v>284147.63</v>
      </c>
      <c r="O35" s="6">
        <v>2100679.05</v>
      </c>
      <c r="P35" s="5"/>
      <c r="Q35" s="5"/>
      <c r="R35" s="6">
        <v>260697.64</v>
      </c>
      <c r="S35" s="6">
        <v>1882911.25</v>
      </c>
    </row>
    <row r="36" spans="1:19" ht="12.75">
      <c r="A36" s="16">
        <f t="shared" si="0"/>
        <v>22</v>
      </c>
      <c r="B36" s="3" t="s">
        <v>93</v>
      </c>
      <c r="C36" s="5">
        <f t="shared" si="6"/>
        <v>-3460754.5</v>
      </c>
      <c r="D36" s="5">
        <f t="shared" si="7"/>
        <v>-3369846.9</v>
      </c>
      <c r="E36" s="5"/>
      <c r="F36" s="5"/>
      <c r="G36" s="5">
        <f t="shared" si="8"/>
        <v>-3415301</v>
      </c>
      <c r="H36" s="5"/>
      <c r="I36" s="5">
        <f t="shared" si="9"/>
        <v>0</v>
      </c>
      <c r="J36" s="5">
        <f t="shared" si="10"/>
        <v>-301174.475</v>
      </c>
      <c r="K36" s="5">
        <f t="shared" si="11"/>
        <v>-3114126.2249999996</v>
      </c>
      <c r="L36" s="5"/>
      <c r="M36" s="5"/>
      <c r="N36" s="5">
        <v>-319070.85</v>
      </c>
      <c r="O36" s="5">
        <v>-3141683.65</v>
      </c>
      <c r="P36" s="5"/>
      <c r="Q36" s="5"/>
      <c r="R36" s="5">
        <v>-283278.1</v>
      </c>
      <c r="S36" s="5">
        <v>-3086568.8</v>
      </c>
    </row>
    <row r="37" spans="1:19" ht="12.75">
      <c r="A37" s="16">
        <f t="shared" si="0"/>
        <v>23</v>
      </c>
      <c r="B37" s="1" t="s">
        <v>440</v>
      </c>
      <c r="C37" s="5">
        <f t="shared" si="6"/>
        <v>0</v>
      </c>
      <c r="D37" s="5">
        <f t="shared" si="7"/>
        <v>-10174.27</v>
      </c>
      <c r="E37" s="5"/>
      <c r="F37" s="5"/>
      <c r="G37" s="5">
        <f t="shared" si="8"/>
        <v>-5087</v>
      </c>
      <c r="H37" s="5"/>
      <c r="I37" s="5">
        <f t="shared" si="9"/>
        <v>0</v>
      </c>
      <c r="J37" s="5">
        <f t="shared" si="10"/>
        <v>-5087.135</v>
      </c>
      <c r="K37" s="5">
        <f t="shared" si="11"/>
        <v>0</v>
      </c>
      <c r="L37" s="5"/>
      <c r="M37" s="5"/>
      <c r="N37" s="5">
        <v>0</v>
      </c>
      <c r="O37" s="5">
        <v>0</v>
      </c>
      <c r="P37" s="5"/>
      <c r="Q37" s="5"/>
      <c r="R37" s="5">
        <v>-10174.27</v>
      </c>
      <c r="S37" s="5">
        <v>0</v>
      </c>
    </row>
    <row r="38" spans="1:19" ht="12.75">
      <c r="A38" s="16">
        <f t="shared" si="0"/>
        <v>24</v>
      </c>
      <c r="B38" s="3" t="s">
        <v>631</v>
      </c>
      <c r="C38" s="5">
        <f t="shared" si="6"/>
        <v>0</v>
      </c>
      <c r="D38" s="5">
        <f t="shared" si="7"/>
        <v>-23185.3</v>
      </c>
      <c r="E38" s="5"/>
      <c r="F38" s="5"/>
      <c r="G38" s="5">
        <f t="shared" si="8"/>
        <v>-11593</v>
      </c>
      <c r="H38" s="5"/>
      <c r="I38" s="5">
        <f t="shared" si="9"/>
        <v>0</v>
      </c>
      <c r="J38" s="5">
        <f t="shared" si="10"/>
        <v>0</v>
      </c>
      <c r="K38" s="5">
        <f t="shared" si="11"/>
        <v>-11592.65</v>
      </c>
      <c r="L38" s="5"/>
      <c r="M38" s="5"/>
      <c r="N38" s="5">
        <v>0</v>
      </c>
      <c r="O38" s="5">
        <v>0</v>
      </c>
      <c r="P38" s="5"/>
      <c r="Q38" s="5"/>
      <c r="R38" s="5">
        <v>0</v>
      </c>
      <c r="S38" s="5">
        <v>-23185.3</v>
      </c>
    </row>
    <row r="39" spans="1:19" ht="12.75">
      <c r="A39" s="16">
        <f t="shared" si="0"/>
        <v>25</v>
      </c>
      <c r="B39" s="3" t="s">
        <v>632</v>
      </c>
      <c r="C39" s="5">
        <f t="shared" si="6"/>
        <v>3460754.5</v>
      </c>
      <c r="D39" s="5">
        <f t="shared" si="7"/>
        <v>3369846.9</v>
      </c>
      <c r="E39" s="5"/>
      <c r="F39" s="5"/>
      <c r="G39" s="5">
        <f t="shared" si="8"/>
        <v>3415301</v>
      </c>
      <c r="H39" s="5"/>
      <c r="I39" s="5">
        <f t="shared" si="9"/>
        <v>0</v>
      </c>
      <c r="J39" s="5">
        <f t="shared" si="10"/>
        <v>301174.475</v>
      </c>
      <c r="K39" s="5">
        <f t="shared" si="11"/>
        <v>3114126.2249999996</v>
      </c>
      <c r="L39" s="5"/>
      <c r="M39" s="5"/>
      <c r="N39" s="6">
        <v>319070.85</v>
      </c>
      <c r="O39" s="5">
        <v>3141683.65</v>
      </c>
      <c r="P39" s="5"/>
      <c r="Q39" s="5"/>
      <c r="R39" s="6">
        <v>283278.1</v>
      </c>
      <c r="S39" s="5">
        <v>3086568.8</v>
      </c>
    </row>
    <row r="40" spans="1:19" ht="12.75">
      <c r="A40" s="16">
        <f t="shared" si="0"/>
        <v>26</v>
      </c>
      <c r="B40" s="3" t="s">
        <v>300</v>
      </c>
      <c r="C40" s="5">
        <f t="shared" si="6"/>
        <v>205919.69</v>
      </c>
      <c r="D40" s="5">
        <f t="shared" si="7"/>
        <v>0</v>
      </c>
      <c r="E40" s="5"/>
      <c r="F40" s="5"/>
      <c r="G40" s="5">
        <f t="shared" si="8"/>
        <v>102960</v>
      </c>
      <c r="H40" s="5"/>
      <c r="I40" s="5">
        <f t="shared" si="9"/>
        <v>0</v>
      </c>
      <c r="J40" s="5">
        <f t="shared" si="10"/>
        <v>0</v>
      </c>
      <c r="K40" s="5">
        <f t="shared" si="11"/>
        <v>102959.845</v>
      </c>
      <c r="L40" s="5"/>
      <c r="M40" s="5"/>
      <c r="N40" s="6">
        <v>0</v>
      </c>
      <c r="O40" s="5">
        <v>205919.69</v>
      </c>
      <c r="P40" s="5"/>
      <c r="Q40" s="5"/>
      <c r="R40" s="6">
        <v>0</v>
      </c>
      <c r="S40" s="5">
        <v>0</v>
      </c>
    </row>
    <row r="41" spans="1:19" ht="12.75">
      <c r="A41" s="16">
        <f t="shared" si="0"/>
        <v>27</v>
      </c>
      <c r="B41" s="3" t="s">
        <v>633</v>
      </c>
      <c r="C41" s="5">
        <f t="shared" si="6"/>
        <v>71046.37</v>
      </c>
      <c r="D41" s="5">
        <f t="shared" si="7"/>
        <v>52827.12</v>
      </c>
      <c r="E41" s="5"/>
      <c r="F41" s="5"/>
      <c r="G41" s="5">
        <f t="shared" si="8"/>
        <v>61937</v>
      </c>
      <c r="H41" s="5"/>
      <c r="I41" s="5">
        <f t="shared" si="9"/>
        <v>0</v>
      </c>
      <c r="J41" s="5">
        <f t="shared" si="10"/>
        <v>0</v>
      </c>
      <c r="K41" s="5">
        <f t="shared" si="11"/>
        <v>61936.744999999995</v>
      </c>
      <c r="L41" s="5"/>
      <c r="M41" s="5"/>
      <c r="N41" s="5">
        <v>0</v>
      </c>
      <c r="O41" s="5">
        <v>71046.37</v>
      </c>
      <c r="P41" s="5"/>
      <c r="Q41" s="5"/>
      <c r="R41" s="5">
        <v>0</v>
      </c>
      <c r="S41" s="5">
        <v>52827.12</v>
      </c>
    </row>
    <row r="42" spans="1:19" ht="12.75">
      <c r="A42" s="16">
        <f t="shared" si="0"/>
        <v>28</v>
      </c>
      <c r="B42" s="1" t="s">
        <v>302</v>
      </c>
      <c r="C42" s="5">
        <f t="shared" si="6"/>
        <v>119764.63</v>
      </c>
      <c r="D42" s="5">
        <f t="shared" si="7"/>
        <v>107791.13</v>
      </c>
      <c r="E42" s="5"/>
      <c r="F42" s="5"/>
      <c r="G42" s="5">
        <f t="shared" si="8"/>
        <v>113778</v>
      </c>
      <c r="H42" s="5"/>
      <c r="I42" s="5">
        <f t="shared" si="9"/>
        <v>0</v>
      </c>
      <c r="J42" s="5">
        <f t="shared" si="10"/>
        <v>18297.805</v>
      </c>
      <c r="K42" s="5">
        <f t="shared" si="11"/>
        <v>95480.075</v>
      </c>
      <c r="L42" s="5"/>
      <c r="M42" s="5"/>
      <c r="N42" s="5">
        <v>20850.18</v>
      </c>
      <c r="O42" s="5">
        <v>98914.45</v>
      </c>
      <c r="P42" s="5"/>
      <c r="Q42" s="5"/>
      <c r="R42" s="5">
        <v>15745.43</v>
      </c>
      <c r="S42" s="5">
        <v>92045.7</v>
      </c>
    </row>
    <row r="43" spans="1:19" ht="12.75">
      <c r="A43" s="16">
        <f t="shared" si="0"/>
        <v>29</v>
      </c>
      <c r="B43" s="1" t="s">
        <v>312</v>
      </c>
      <c r="C43" s="5">
        <f t="shared" si="6"/>
        <v>1244</v>
      </c>
      <c r="D43" s="5">
        <f t="shared" si="7"/>
        <v>1244</v>
      </c>
      <c r="E43" s="5"/>
      <c r="F43" s="5"/>
      <c r="G43" s="5">
        <f t="shared" si="8"/>
        <v>1244</v>
      </c>
      <c r="H43" s="5"/>
      <c r="I43" s="5">
        <f t="shared" si="9"/>
        <v>0</v>
      </c>
      <c r="J43" s="5">
        <f t="shared" si="10"/>
        <v>1244</v>
      </c>
      <c r="K43" s="5">
        <f t="shared" si="11"/>
        <v>0</v>
      </c>
      <c r="L43" s="5"/>
      <c r="M43" s="5"/>
      <c r="N43" s="5">
        <v>1244</v>
      </c>
      <c r="O43" s="5">
        <v>0</v>
      </c>
      <c r="P43" s="5"/>
      <c r="Q43" s="5"/>
      <c r="R43" s="5">
        <v>1244</v>
      </c>
      <c r="S43" s="5">
        <v>0</v>
      </c>
    </row>
    <row r="44" spans="1:19" ht="12.75">
      <c r="A44" s="16">
        <f t="shared" si="0"/>
        <v>30</v>
      </c>
      <c r="B44" s="1" t="s">
        <v>44</v>
      </c>
      <c r="C44" s="5">
        <f t="shared" si="6"/>
        <v>-0.25</v>
      </c>
      <c r="D44" s="5">
        <f t="shared" si="7"/>
        <v>-0.25</v>
      </c>
      <c r="E44" s="5"/>
      <c r="F44" s="5"/>
      <c r="G44" s="5">
        <f t="shared" si="8"/>
        <v>0</v>
      </c>
      <c r="H44" s="5"/>
      <c r="I44" s="5">
        <f t="shared" si="9"/>
        <v>0</v>
      </c>
      <c r="J44" s="5">
        <f t="shared" si="10"/>
        <v>0</v>
      </c>
      <c r="K44" s="5">
        <f t="shared" si="11"/>
        <v>-0.25</v>
      </c>
      <c r="L44" s="5"/>
      <c r="M44" s="5"/>
      <c r="N44" s="5">
        <v>0</v>
      </c>
      <c r="O44" s="5">
        <v>-0.25</v>
      </c>
      <c r="P44" s="5"/>
      <c r="Q44" s="5"/>
      <c r="R44" s="5">
        <v>0</v>
      </c>
      <c r="S44" s="5">
        <v>-0.25</v>
      </c>
    </row>
    <row r="45" spans="1:19" ht="12.75">
      <c r="A45" s="16">
        <f t="shared" si="0"/>
        <v>31</v>
      </c>
      <c r="B45" s="1" t="s">
        <v>45</v>
      </c>
      <c r="C45" s="5">
        <f t="shared" si="6"/>
        <v>49553.22</v>
      </c>
      <c r="D45" s="5">
        <f t="shared" si="7"/>
        <v>75049.78</v>
      </c>
      <c r="E45" s="5"/>
      <c r="F45" s="5"/>
      <c r="G45" s="5">
        <f t="shared" si="8"/>
        <v>62302</v>
      </c>
      <c r="H45" s="5"/>
      <c r="I45" s="5">
        <f t="shared" si="9"/>
        <v>0</v>
      </c>
      <c r="J45" s="5">
        <f t="shared" si="10"/>
        <v>0</v>
      </c>
      <c r="K45" s="5">
        <f t="shared" si="11"/>
        <v>62301.5</v>
      </c>
      <c r="L45" s="5"/>
      <c r="M45" s="5"/>
      <c r="N45" s="5">
        <v>0</v>
      </c>
      <c r="O45" s="5">
        <v>49553.22</v>
      </c>
      <c r="P45" s="5"/>
      <c r="Q45" s="5"/>
      <c r="R45" s="5">
        <v>0</v>
      </c>
      <c r="S45" s="5">
        <v>75049.78</v>
      </c>
    </row>
    <row r="46" spans="1:19" ht="12.75">
      <c r="A46" s="16">
        <f t="shared" si="0"/>
        <v>32</v>
      </c>
      <c r="B46" s="2" t="s">
        <v>46</v>
      </c>
      <c r="C46" s="5">
        <v>6263894</v>
      </c>
      <c r="D46" s="5">
        <v>5403160.06</v>
      </c>
      <c r="E46" s="5">
        <f>-C46</f>
        <v>-6263894</v>
      </c>
      <c r="F46" s="5">
        <f>-D46</f>
        <v>-5403160.06</v>
      </c>
      <c r="G46" s="5">
        <f t="shared" si="8"/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16">
        <f t="shared" si="0"/>
        <v>33</v>
      </c>
      <c r="B47" s="1" t="s">
        <v>48</v>
      </c>
      <c r="C47" s="5">
        <v>0</v>
      </c>
      <c r="D47" s="5">
        <v>3350.2400000000002</v>
      </c>
      <c r="E47" s="5">
        <f>-C47</f>
        <v>0</v>
      </c>
      <c r="F47" s="5">
        <f>-D47</f>
        <v>-3350.2400000000002</v>
      </c>
      <c r="G47" s="5">
        <f t="shared" si="8"/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3.5" thickBot="1">
      <c r="A48" s="16">
        <f aca="true" t="shared" si="12" ref="A48:A71">A47+1</f>
        <v>34</v>
      </c>
      <c r="C48" s="17">
        <f>SUM(C35:C47)</f>
        <v>9096248.34</v>
      </c>
      <c r="D48" s="17">
        <f>SUM(D35:D47)</f>
        <v>7753671.4</v>
      </c>
      <c r="E48" s="17">
        <f>SUM(E35:E47)</f>
        <v>-6263894</v>
      </c>
      <c r="F48" s="17">
        <f>SUM(F35:F47)</f>
        <v>-5406510.3</v>
      </c>
      <c r="G48" s="17">
        <f>SUM(G35:G47)</f>
        <v>2589759</v>
      </c>
      <c r="H48" s="17"/>
      <c r="I48" s="17">
        <f>SUM(I35:I47)</f>
        <v>0</v>
      </c>
      <c r="J48" s="17">
        <f>SUM(J35:J47)</f>
        <v>286877.305</v>
      </c>
      <c r="K48" s="17">
        <f>SUM(K35:K47)</f>
        <v>2302880.415</v>
      </c>
      <c r="L48" s="17"/>
      <c r="M48" s="17">
        <f>SUM(M35:M47)</f>
        <v>0</v>
      </c>
      <c r="N48" s="17">
        <f>SUM(N35:N47)</f>
        <v>306241.81</v>
      </c>
      <c r="O48" s="17">
        <f>SUM(O35:O47)</f>
        <v>2526112.5300000003</v>
      </c>
      <c r="P48" s="5"/>
      <c r="Q48" s="17">
        <f>SUM(Q35:Q47)</f>
        <v>0</v>
      </c>
      <c r="R48" s="17">
        <f>SUM(R35:R47)</f>
        <v>267512.80000000005</v>
      </c>
      <c r="S48" s="17">
        <f>SUM(S35:S47)</f>
        <v>2079648.3</v>
      </c>
    </row>
    <row r="49" spans="1:19" ht="13.5" thickTop="1">
      <c r="A49" s="16">
        <f t="shared" si="12"/>
        <v>35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5"/>
      <c r="Q49" s="18"/>
      <c r="R49" s="18"/>
      <c r="S49" s="18"/>
    </row>
    <row r="50" spans="1:19" ht="12.75">
      <c r="A50" s="16">
        <f t="shared" si="12"/>
        <v>36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16">
        <f t="shared" si="12"/>
        <v>37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16">
        <f t="shared" si="12"/>
        <v>38</v>
      </c>
      <c r="B52" s="2" t="s">
        <v>50</v>
      </c>
      <c r="C52" s="5">
        <v>7127256</v>
      </c>
      <c r="D52" s="5">
        <v>5338981</v>
      </c>
      <c r="E52" s="5">
        <f>-C52</f>
        <v>-7127256</v>
      </c>
      <c r="F52" s="5">
        <f>-D52</f>
        <v>-5338981</v>
      </c>
      <c r="G52" s="5">
        <f>ROUND(SUM(C52:F52)/2,0)</f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16">
        <f t="shared" si="12"/>
        <v>39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3.5" thickBot="1">
      <c r="A54" s="16">
        <f t="shared" si="12"/>
        <v>40</v>
      </c>
      <c r="B54" s="1" t="s">
        <v>49</v>
      </c>
      <c r="C54" s="17">
        <f>SUM(C48+C52)</f>
        <v>16223504.34</v>
      </c>
      <c r="D54" s="17">
        <f>SUM(D48+D52)</f>
        <v>13092652.4</v>
      </c>
      <c r="E54" s="17">
        <f>SUM(E48+E52)</f>
        <v>-13391150</v>
      </c>
      <c r="F54" s="17">
        <f>SUM(F48+F52)</f>
        <v>-10745491.3</v>
      </c>
      <c r="G54" s="17">
        <f>SUM(G48+G52)</f>
        <v>2589759</v>
      </c>
      <c r="H54" s="17"/>
      <c r="I54" s="17">
        <f>SUM(I48+I52)</f>
        <v>0</v>
      </c>
      <c r="J54" s="17">
        <f>SUM(J48+J52)</f>
        <v>286877.305</v>
      </c>
      <c r="K54" s="17">
        <f>SUM(K48+K52)</f>
        <v>2302880.415</v>
      </c>
      <c r="L54" s="17"/>
      <c r="M54" s="17">
        <f>SUM(M52:M53)</f>
        <v>0</v>
      </c>
      <c r="N54" s="17">
        <f>SUM(N48+N52)</f>
        <v>306241.81</v>
      </c>
      <c r="O54" s="17">
        <f>SUM(O48+O52)</f>
        <v>2526112.5300000003</v>
      </c>
      <c r="P54" s="5"/>
      <c r="Q54" s="17">
        <f>SUM(Q52:Q53)</f>
        <v>0</v>
      </c>
      <c r="R54" s="17">
        <f>SUM(R48+R52)</f>
        <v>267512.80000000005</v>
      </c>
      <c r="S54" s="17">
        <f>SUM(S48+S52)</f>
        <v>2079648.3</v>
      </c>
    </row>
    <row r="55" spans="1:19" ht="13.5" thickTop="1">
      <c r="A55" s="16">
        <f t="shared" si="12"/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5"/>
      <c r="Q55" s="18"/>
      <c r="R55" s="18"/>
      <c r="S55" s="18"/>
    </row>
    <row r="56" spans="1:19" ht="12.75">
      <c r="A56" s="16">
        <f t="shared" si="12"/>
        <v>42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16">
        <f t="shared" si="12"/>
        <v>43</v>
      </c>
      <c r="B57" s="1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16">
        <f t="shared" si="12"/>
        <v>44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16">
        <f t="shared" si="12"/>
        <v>45</v>
      </c>
      <c r="B59" s="1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16">
        <f t="shared" si="12"/>
        <v>46</v>
      </c>
      <c r="C60" s="5"/>
      <c r="D60" s="19"/>
      <c r="E60" s="19"/>
      <c r="F60" s="19"/>
      <c r="G60" s="19"/>
      <c r="H60" s="19"/>
      <c r="I60" s="19"/>
      <c r="J60" s="19"/>
      <c r="K60" s="19"/>
      <c r="L60" s="19"/>
      <c r="M60" s="5"/>
      <c r="N60" s="5"/>
      <c r="O60" s="5"/>
      <c r="P60" s="5"/>
      <c r="Q60" s="5"/>
      <c r="R60" s="5"/>
      <c r="S60" s="5"/>
    </row>
    <row r="61" spans="1:19" ht="12.75">
      <c r="A61" s="16">
        <f t="shared" si="12"/>
        <v>47</v>
      </c>
      <c r="B61" s="1" t="s">
        <v>53</v>
      </c>
      <c r="C61" s="5"/>
      <c r="D61" s="19"/>
      <c r="E61" s="19"/>
      <c r="F61" s="19"/>
      <c r="G61" s="19"/>
      <c r="H61" s="19"/>
      <c r="I61" s="19"/>
      <c r="J61" s="19"/>
      <c r="K61" s="19"/>
      <c r="L61" s="19"/>
      <c r="M61" s="5"/>
      <c r="N61" s="5"/>
      <c r="O61" s="5"/>
      <c r="P61" s="5"/>
      <c r="Q61" s="5"/>
      <c r="R61" s="5"/>
      <c r="S61" s="5"/>
    </row>
    <row r="62" spans="1:19" ht="12.75">
      <c r="A62" s="16">
        <f t="shared" si="12"/>
        <v>48</v>
      </c>
      <c r="B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3.5" thickBot="1">
      <c r="A63" s="16">
        <f t="shared" si="12"/>
        <v>49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3.5" thickTop="1">
      <c r="A64" s="16">
        <f t="shared" si="12"/>
        <v>50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5"/>
      <c r="Q64" s="18"/>
      <c r="R64" s="18"/>
      <c r="S64" s="18"/>
    </row>
    <row r="65" spans="1:19" ht="12.75">
      <c r="A65" s="16">
        <f t="shared" si="12"/>
        <v>51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16">
        <f t="shared" si="12"/>
        <v>52</v>
      </c>
      <c r="B66" s="3" t="s">
        <v>54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16">
        <f t="shared" si="12"/>
        <v>53</v>
      </c>
      <c r="B67" s="3" t="s">
        <v>55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16">
        <f t="shared" si="12"/>
        <v>54</v>
      </c>
      <c r="B68" s="1" t="s">
        <v>319</v>
      </c>
      <c r="C68" s="5">
        <f>SUM(M68:O68)</f>
        <v>57155</v>
      </c>
      <c r="D68" s="5">
        <f>SUM(Q68:S68)</f>
        <v>87254</v>
      </c>
      <c r="E68" s="5"/>
      <c r="F68" s="5"/>
      <c r="G68" s="5">
        <f>ROUND(SUM(C68:F68)/2,0)</f>
        <v>72205</v>
      </c>
      <c r="H68" s="5"/>
      <c r="I68" s="5">
        <f>(+M68+Q68)/2</f>
        <v>0</v>
      </c>
      <c r="J68" s="5">
        <f>(+N68+R68)/2</f>
        <v>23662.5</v>
      </c>
      <c r="K68" s="5">
        <f>(+O68+S68)/2</f>
        <v>48542</v>
      </c>
      <c r="L68" s="5"/>
      <c r="M68" s="5">
        <v>0</v>
      </c>
      <c r="N68" s="5">
        <v>18739</v>
      </c>
      <c r="O68" s="5">
        <v>38416</v>
      </c>
      <c r="P68" s="5"/>
      <c r="Q68" s="5">
        <v>0</v>
      </c>
      <c r="R68" s="5">
        <v>28586</v>
      </c>
      <c r="S68" s="5">
        <v>58668</v>
      </c>
    </row>
    <row r="69" spans="1:19" ht="12.75">
      <c r="A69" s="16">
        <f t="shared" si="12"/>
        <v>55</v>
      </c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2.75">
      <c r="A70" s="16">
        <f t="shared" si="12"/>
        <v>56</v>
      </c>
      <c r="B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2.75">
      <c r="A71" s="16">
        <f t="shared" si="12"/>
        <v>57</v>
      </c>
      <c r="B71" s="3" t="s">
        <v>56</v>
      </c>
      <c r="C71" s="17">
        <f>SUM(C68:C70)</f>
        <v>57155</v>
      </c>
      <c r="D71" s="17">
        <f>SUM(D68:D70)</f>
        <v>87254</v>
      </c>
      <c r="E71" s="17">
        <f>SUM(E68:E70)</f>
        <v>0</v>
      </c>
      <c r="F71" s="17">
        <f>SUM(F68:F70)</f>
        <v>0</v>
      </c>
      <c r="G71" s="17">
        <f>SUM(G68:G70)</f>
        <v>72205</v>
      </c>
      <c r="H71" s="17"/>
      <c r="I71" s="17">
        <f>SUM(I68:I70)</f>
        <v>0</v>
      </c>
      <c r="J71" s="17">
        <f>SUM(J68:J70)</f>
        <v>23662.5</v>
      </c>
      <c r="K71" s="17">
        <f>SUM(K68:K70)</f>
        <v>48542</v>
      </c>
      <c r="L71" s="17"/>
      <c r="M71" s="17">
        <f>SUM(M68:M70)</f>
        <v>0</v>
      </c>
      <c r="N71" s="17">
        <f>SUM(N68:N70)</f>
        <v>18739</v>
      </c>
      <c r="O71" s="17">
        <f>SUM(O68:O70)</f>
        <v>38416</v>
      </c>
      <c r="P71" s="5"/>
      <c r="Q71" s="17">
        <f>SUM(Q68:Q70)</f>
        <v>0</v>
      </c>
      <c r="R71" s="17">
        <f>SUM(R68:R70)</f>
        <v>28586</v>
      </c>
      <c r="S71" s="17">
        <f>SUM(S68:S70)</f>
        <v>58668</v>
      </c>
    </row>
    <row r="72" spans="3:19" ht="12.7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3:19" ht="12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3:19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3:19" ht="12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3:19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3:19" ht="12.7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3:19" ht="12.7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3:19" ht="12.7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3:19" ht="12.7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3:19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3:19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3:19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3:19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3:19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3:19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3:19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3:19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3:19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3:19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3:19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3:19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3:19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3:19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3:19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3:19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3:19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3:19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3:19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3:19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3:19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3:19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3:19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3:19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3:19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3:19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3:19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3:19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3:19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3:19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3:19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3:19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3:19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3:19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3:19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3:19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3:19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3:19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3:19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3:19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3:19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3:19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3:19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3:19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3:19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3:19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3:19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3:19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3:19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3:19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3:19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3:19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3:19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3:19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3:19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3:19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3:19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3:19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3:19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3:19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3:19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3:19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3:19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3:19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3:19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3:19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3:19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3:19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3:19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3:19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3:19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3:19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3:19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3:19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3:19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3:19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3:19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3:19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3:19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3:19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3:19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3:19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3:19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3:19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3:19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3:19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3:19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3:19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3:19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3:19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3:19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3:19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3:19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3:19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3:19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3:19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3:19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3:19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3:19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3:19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3:19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3:19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3:19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3:19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3:19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3:19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3:19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3:19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3:19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3:19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3:19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3:19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3:19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3:19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3:19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3:19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3:19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3:19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3:19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3:19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3:19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3:19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3:19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3:19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3:19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3:19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3:19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3:19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3:19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3:19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3:19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3:19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3:19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3:19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3:19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3:19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3:19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3:19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3:19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3:19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3:19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3:19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3:19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3:19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3:19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3:19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3:19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3:19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3:19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3:19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3:19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3:19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3:19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3:19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3:19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3:19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3:19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3:19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3:19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3:19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3:19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3:19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3:19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3:19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3:19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3:19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3:19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3:19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3:19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3:19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3:19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3:19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3:19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3:19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3:19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3:19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3:19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3:19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3:19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3:19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3:19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3:19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3:19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3:19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3:19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3:19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3:19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3:19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3:19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3:19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3:19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3:19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3:19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3:19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3:19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3:19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3:19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3:19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3:19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3:19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3:19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3:19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3:19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3:19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3:19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3:19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3:19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3:19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3:19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3:19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3:19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3:19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3:19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3:19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3:19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3:19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3:19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3:19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3:19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3:19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3:19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3:19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3:19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3:19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3:19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3:19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3:19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3:19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3:19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3:19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3:19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3:19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3:19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3:19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3:19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3:19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3:19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3:19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3:19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3:19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3:19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3:19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3:19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3:19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3:19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3:19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3:19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3:19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3:19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3:19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3:19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3:19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3:19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3:19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3:19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3:19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3:19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3:19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3:19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3:19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3:19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3:19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3:19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3:19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3:19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3:19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3:19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3:19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3:19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3:19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3:19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3:19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3:19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3:19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3:19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3:19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3:19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3:19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3:19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3:19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3:19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3:19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3:19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3:19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3:19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3:19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3:19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3:19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3:19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3:19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3:19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3:19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3:19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3:19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3:19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3:19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3:19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3:19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3:19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3:19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3:19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3:19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3:19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3:19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3:19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3:19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3:19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3:19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3:19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3:19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3:19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3:19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3:19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3:19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3:19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3:19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3:19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3:19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3:19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3:19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3:19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3:19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3:19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3:19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3:19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3:19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3:19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3:19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3:19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3:19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3:19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3:19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3:19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3:19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3:19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3:19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3:19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3:19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3:19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3:19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3:19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3:19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3:19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3:19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3:19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3:19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3:19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3:19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3:19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</sheetData>
  <sheetProtection/>
  <printOptions/>
  <pageMargins left="0.75" right="0.25" top="0.75" bottom="0.5" header="0" footer="0"/>
  <pageSetup horizontalDpi="600" verticalDpi="600" orientation="landscape" scale="67" r:id="rId1"/>
  <headerFooter alignWithMargins="0">
    <oddHeader>&amp;RSTATEMENT AF
PAGE &amp;P OF &amp;N</oddHeader>
  </headerFooter>
  <rowBreaks count="1" manualBreakCount="1">
    <brk id="49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OutlineSymbols="0" zoomScale="75" zoomScaleNormal="75" workbookViewId="0" topLeftCell="A1">
      <selection activeCell="A1" sqref="A1"/>
    </sheetView>
  </sheetViews>
  <sheetFormatPr defaultColWidth="12.7109375" defaultRowHeight="12.75"/>
  <cols>
    <col min="1" max="1" width="5.7109375" style="38" customWidth="1"/>
    <col min="2" max="2" width="55.140625" style="39" bestFit="1" customWidth="1"/>
    <col min="3" max="3" width="17.8515625" style="39" customWidth="1"/>
    <col min="4" max="4" width="14.7109375" style="39" customWidth="1"/>
    <col min="5" max="5" width="20.421875" style="39" customWidth="1"/>
    <col min="6" max="7" width="14.7109375" style="39" customWidth="1"/>
    <col min="8" max="8" width="6.140625" style="39" customWidth="1"/>
    <col min="9" max="11" width="14.7109375" style="39" customWidth="1"/>
    <col min="12" max="12" width="4.7109375" style="39" customWidth="1"/>
    <col min="13" max="15" width="14.7109375" style="39" customWidth="1"/>
    <col min="16" max="16" width="4.7109375" style="39" customWidth="1"/>
    <col min="17" max="19" width="14.7109375" style="39" customWidth="1"/>
    <col min="20" max="16384" width="12.7109375" style="39" customWidth="1"/>
  </cols>
  <sheetData>
    <row r="1" spans="2:19" ht="12.75">
      <c r="B1" s="20" t="s">
        <v>626</v>
      </c>
      <c r="G1" s="40"/>
      <c r="H1" s="41"/>
      <c r="I1" s="41"/>
      <c r="J1" s="41"/>
      <c r="K1" s="40"/>
      <c r="L1" s="41"/>
      <c r="O1" s="40"/>
      <c r="S1" s="40"/>
    </row>
    <row r="2" spans="2:19" ht="12.75">
      <c r="B2" s="20" t="s">
        <v>140</v>
      </c>
      <c r="G2" s="40"/>
      <c r="H2" s="41"/>
      <c r="I2" s="41"/>
      <c r="J2" s="41"/>
      <c r="K2" s="40"/>
      <c r="L2" s="41"/>
      <c r="O2" s="40"/>
      <c r="S2" s="40"/>
    </row>
    <row r="3" ht="12.75">
      <c r="B3" s="20" t="s">
        <v>127</v>
      </c>
    </row>
    <row r="4" spans="2:19" ht="12.75">
      <c r="B4" s="42"/>
      <c r="G4" s="40" t="s">
        <v>141</v>
      </c>
      <c r="K4" s="40" t="s">
        <v>141</v>
      </c>
      <c r="O4" s="40" t="s">
        <v>141</v>
      </c>
      <c r="S4" s="40" t="s">
        <v>141</v>
      </c>
    </row>
    <row r="6" spans="8:12" ht="12.75">
      <c r="H6" s="43"/>
      <c r="I6" s="43"/>
      <c r="J6" s="43"/>
      <c r="K6" s="43"/>
      <c r="L6" s="43"/>
    </row>
    <row r="8" spans="2:19" ht="12.75">
      <c r="B8" s="44" t="s">
        <v>2</v>
      </c>
      <c r="C8" s="44" t="s">
        <v>3</v>
      </c>
      <c r="D8" s="44" t="s">
        <v>4</v>
      </c>
      <c r="E8" s="44" t="s">
        <v>5</v>
      </c>
      <c r="F8" s="44" t="s">
        <v>6</v>
      </c>
      <c r="G8" s="44" t="s">
        <v>7</v>
      </c>
      <c r="H8" s="44"/>
      <c r="I8" s="44" t="s">
        <v>8</v>
      </c>
      <c r="J8" s="44" t="s">
        <v>9</v>
      </c>
      <c r="K8" s="44" t="s">
        <v>10</v>
      </c>
      <c r="L8" s="44"/>
      <c r="M8" s="44" t="s">
        <v>11</v>
      </c>
      <c r="N8" s="44" t="s">
        <v>60</v>
      </c>
      <c r="O8" s="44" t="s">
        <v>61</v>
      </c>
      <c r="Q8" s="44" t="s">
        <v>62</v>
      </c>
      <c r="R8" s="44" t="s">
        <v>63</v>
      </c>
      <c r="S8" s="44" t="s">
        <v>64</v>
      </c>
    </row>
    <row r="10" spans="3:19" ht="12.75">
      <c r="C10" s="45" t="s">
        <v>12</v>
      </c>
      <c r="D10" s="45"/>
      <c r="E10" s="46" t="s">
        <v>13</v>
      </c>
      <c r="F10" s="45"/>
      <c r="G10" s="43" t="s">
        <v>14</v>
      </c>
      <c r="H10" s="43"/>
      <c r="I10" s="45" t="s">
        <v>66</v>
      </c>
      <c r="J10" s="45"/>
      <c r="K10" s="45"/>
      <c r="L10" s="43"/>
      <c r="M10" s="45" t="s">
        <v>129</v>
      </c>
      <c r="N10" s="45"/>
      <c r="O10" s="45"/>
      <c r="Q10" s="45" t="s">
        <v>123</v>
      </c>
      <c r="R10" s="45"/>
      <c r="S10" s="45"/>
    </row>
    <row r="11" spans="3:19" ht="12.75">
      <c r="C11" s="47"/>
      <c r="D11" s="47"/>
      <c r="G11" s="43" t="s">
        <v>15</v>
      </c>
      <c r="H11" s="43"/>
      <c r="I11" s="47"/>
      <c r="J11" s="47"/>
      <c r="K11" s="47"/>
      <c r="L11" s="43"/>
      <c r="M11" s="47"/>
      <c r="N11" s="47"/>
      <c r="O11" s="47"/>
      <c r="Q11" s="47"/>
      <c r="R11" s="47"/>
      <c r="S11" s="47"/>
    </row>
    <row r="12" spans="3:12" ht="12.75">
      <c r="C12" s="43" t="s">
        <v>16</v>
      </c>
      <c r="D12" s="43" t="s">
        <v>16</v>
      </c>
      <c r="E12" s="43" t="s">
        <v>16</v>
      </c>
      <c r="F12" s="43" t="s">
        <v>16</v>
      </c>
      <c r="G12" s="43" t="s">
        <v>17</v>
      </c>
      <c r="H12" s="43"/>
      <c r="L12" s="43"/>
    </row>
    <row r="13" spans="2:19" ht="12.75">
      <c r="B13" s="44" t="s">
        <v>18</v>
      </c>
      <c r="C13" s="44" t="s">
        <v>128</v>
      </c>
      <c r="D13" s="44" t="s">
        <v>122</v>
      </c>
      <c r="E13" s="44" t="s">
        <v>128</v>
      </c>
      <c r="F13" s="44" t="s">
        <v>122</v>
      </c>
      <c r="G13" s="44" t="s">
        <v>19</v>
      </c>
      <c r="H13" s="44"/>
      <c r="I13" s="44" t="s">
        <v>20</v>
      </c>
      <c r="J13" s="44" t="s">
        <v>21</v>
      </c>
      <c r="K13" s="44" t="s">
        <v>22</v>
      </c>
      <c r="L13" s="44"/>
      <c r="M13" s="44" t="s">
        <v>20</v>
      </c>
      <c r="N13" s="44" t="s">
        <v>21</v>
      </c>
      <c r="O13" s="44" t="s">
        <v>22</v>
      </c>
      <c r="Q13" s="44" t="s">
        <v>20</v>
      </c>
      <c r="R13" s="44" t="s">
        <v>21</v>
      </c>
      <c r="S13" s="44" t="s">
        <v>22</v>
      </c>
    </row>
    <row r="15" spans="1:20" ht="12.75">
      <c r="A15" s="48"/>
      <c r="B15" s="49" t="s">
        <v>142</v>
      </c>
      <c r="C15" s="49"/>
      <c r="D15" s="49"/>
      <c r="E15" s="49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2.7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12.75">
      <c r="A17" s="85">
        <v>1</v>
      </c>
      <c r="B17" s="49" t="s">
        <v>320</v>
      </c>
      <c r="C17" s="49">
        <f aca="true" t="shared" si="0" ref="C17:C42">SUM(M17:O17)</f>
        <v>32756.839999999997</v>
      </c>
      <c r="D17" s="49">
        <f aca="true" t="shared" si="1" ref="D17:D42">SUM(Q17:S17)</f>
        <v>0</v>
      </c>
      <c r="E17" s="49"/>
      <c r="F17" s="49"/>
      <c r="G17" s="49">
        <f aca="true" t="shared" si="2" ref="G17:G42">ROUND(SUM(C17:F17)/2,0)</f>
        <v>16378</v>
      </c>
      <c r="H17" s="86" t="str">
        <f aca="true" t="shared" si="3" ref="H17:H42">IF((SUM(I17:K17)-G17)&gt;1,"E"," ")</f>
        <v> </v>
      </c>
      <c r="I17" s="49">
        <f aca="true" t="shared" si="4" ref="I17:I42">(+M17+Q17)/2</f>
        <v>0</v>
      </c>
      <c r="J17" s="49">
        <f aca="true" t="shared" si="5" ref="J17:J42">(+N17+R17)/2</f>
        <v>3569.04</v>
      </c>
      <c r="K17" s="49">
        <f aca="true" t="shared" si="6" ref="K17:K42">(+O17+S17)/2</f>
        <v>12809.38</v>
      </c>
      <c r="L17" s="49"/>
      <c r="M17" s="49">
        <v>0</v>
      </c>
      <c r="N17" s="49">
        <v>7138.08</v>
      </c>
      <c r="O17" s="49">
        <v>25618.76</v>
      </c>
      <c r="P17" s="49"/>
      <c r="Q17" s="49">
        <v>0</v>
      </c>
      <c r="R17" s="49">
        <v>0</v>
      </c>
      <c r="S17" s="49">
        <v>0</v>
      </c>
      <c r="T17" s="49"/>
    </row>
    <row r="18" spans="1:20" ht="12.75">
      <c r="A18" s="87">
        <f aca="true" t="shared" si="7" ref="A18:A50">A17+1</f>
        <v>2</v>
      </c>
      <c r="B18" s="49" t="s">
        <v>144</v>
      </c>
      <c r="C18" s="49">
        <f t="shared" si="0"/>
        <v>545170.0700000001</v>
      </c>
      <c r="D18" s="49">
        <f t="shared" si="1"/>
        <v>380708.26</v>
      </c>
      <c r="E18" s="49"/>
      <c r="F18" s="49"/>
      <c r="G18" s="49">
        <f t="shared" si="2"/>
        <v>462939</v>
      </c>
      <c r="H18" s="86" t="str">
        <f t="shared" si="3"/>
        <v> </v>
      </c>
      <c r="I18" s="49">
        <f t="shared" si="4"/>
        <v>0</v>
      </c>
      <c r="J18" s="49">
        <f t="shared" si="5"/>
        <v>119334.87</v>
      </c>
      <c r="K18" s="49">
        <f t="shared" si="6"/>
        <v>343604.29500000004</v>
      </c>
      <c r="L18" s="49"/>
      <c r="M18" s="49">
        <v>0</v>
      </c>
      <c r="N18" s="49">
        <f>206537.29-44602</f>
        <v>161935.29</v>
      </c>
      <c r="O18" s="49">
        <f>534993.78-151759</f>
        <v>383234.78</v>
      </c>
      <c r="P18" s="49"/>
      <c r="Q18" s="49">
        <v>0</v>
      </c>
      <c r="R18" s="49">
        <f>116132.45-39398</f>
        <v>76734.45</v>
      </c>
      <c r="S18" s="49">
        <f>439438.81-135465</f>
        <v>303973.81</v>
      </c>
      <c r="T18" s="49"/>
    </row>
    <row r="19" spans="1:20" ht="12.75">
      <c r="A19" s="87">
        <f t="shared" si="7"/>
        <v>3</v>
      </c>
      <c r="B19" s="49" t="s">
        <v>324</v>
      </c>
      <c r="C19" s="49">
        <f t="shared" si="0"/>
        <v>1286622.44</v>
      </c>
      <c r="D19" s="49">
        <f t="shared" si="1"/>
        <v>2796120.64</v>
      </c>
      <c r="E19" s="49"/>
      <c r="F19" s="49"/>
      <c r="G19" s="49">
        <f t="shared" si="2"/>
        <v>2041372</v>
      </c>
      <c r="H19" s="86" t="str">
        <f t="shared" si="3"/>
        <v> </v>
      </c>
      <c r="I19" s="49">
        <f t="shared" si="4"/>
        <v>0</v>
      </c>
      <c r="J19" s="49">
        <f t="shared" si="5"/>
        <v>1550151.62</v>
      </c>
      <c r="K19" s="49">
        <f t="shared" si="6"/>
        <v>491219.92</v>
      </c>
      <c r="L19" s="49"/>
      <c r="M19" s="49">
        <v>0</v>
      </c>
      <c r="N19" s="49">
        <v>819256.77</v>
      </c>
      <c r="O19" s="49">
        <v>467365.67</v>
      </c>
      <c r="P19" s="49"/>
      <c r="Q19" s="49">
        <v>0</v>
      </c>
      <c r="R19" s="49">
        <v>2281046.47</v>
      </c>
      <c r="S19" s="49">
        <v>515074.17</v>
      </c>
      <c r="T19" s="49"/>
    </row>
    <row r="20" spans="1:20" ht="12.75">
      <c r="A20" s="87">
        <f t="shared" si="7"/>
        <v>4</v>
      </c>
      <c r="B20" s="49" t="s">
        <v>634</v>
      </c>
      <c r="C20" s="49">
        <f t="shared" si="0"/>
        <v>0.15</v>
      </c>
      <c r="D20" s="49">
        <f t="shared" si="1"/>
        <v>0.15</v>
      </c>
      <c r="E20" s="49"/>
      <c r="F20" s="49"/>
      <c r="G20" s="49">
        <f t="shared" si="2"/>
        <v>0</v>
      </c>
      <c r="H20" s="86" t="str">
        <f t="shared" si="3"/>
        <v> </v>
      </c>
      <c r="I20" s="49">
        <f t="shared" si="4"/>
        <v>0</v>
      </c>
      <c r="J20" s="49">
        <f t="shared" si="5"/>
        <v>0</v>
      </c>
      <c r="K20" s="49">
        <f t="shared" si="6"/>
        <v>0.15</v>
      </c>
      <c r="L20" s="49"/>
      <c r="M20" s="49">
        <v>0</v>
      </c>
      <c r="N20" s="49">
        <v>0</v>
      </c>
      <c r="O20" s="49">
        <v>0.15</v>
      </c>
      <c r="P20" s="49"/>
      <c r="Q20" s="49">
        <v>0</v>
      </c>
      <c r="R20" s="49">
        <v>0</v>
      </c>
      <c r="S20" s="49">
        <v>0.15</v>
      </c>
      <c r="T20" s="49"/>
    </row>
    <row r="21" spans="1:20" ht="12.75">
      <c r="A21" s="87">
        <f t="shared" si="7"/>
        <v>5</v>
      </c>
      <c r="B21" s="49" t="s">
        <v>635</v>
      </c>
      <c r="C21" s="49">
        <f t="shared" si="0"/>
        <v>0</v>
      </c>
      <c r="D21" s="49">
        <f t="shared" si="1"/>
        <v>0</v>
      </c>
      <c r="E21" s="49"/>
      <c r="F21" s="49"/>
      <c r="G21" s="49">
        <f t="shared" si="2"/>
        <v>0</v>
      </c>
      <c r="H21" s="86" t="str">
        <f t="shared" si="3"/>
        <v> </v>
      </c>
      <c r="I21" s="49">
        <f t="shared" si="4"/>
        <v>0</v>
      </c>
      <c r="J21" s="49">
        <f t="shared" si="5"/>
        <v>0</v>
      </c>
      <c r="K21" s="49">
        <f t="shared" si="6"/>
        <v>0</v>
      </c>
      <c r="L21" s="49"/>
      <c r="M21" s="49">
        <v>0</v>
      </c>
      <c r="N21" s="49">
        <v>0</v>
      </c>
      <c r="O21" s="49">
        <v>0</v>
      </c>
      <c r="P21" s="49"/>
      <c r="Q21" s="49">
        <v>0</v>
      </c>
      <c r="R21" s="49">
        <v>0</v>
      </c>
      <c r="S21" s="49">
        <v>0</v>
      </c>
      <c r="T21" s="49"/>
    </row>
    <row r="22" spans="1:20" ht="12.75">
      <c r="A22" s="87">
        <f t="shared" si="7"/>
        <v>6</v>
      </c>
      <c r="B22" s="49" t="s">
        <v>156</v>
      </c>
      <c r="C22" s="49">
        <f t="shared" si="0"/>
        <v>42646.5</v>
      </c>
      <c r="D22" s="49">
        <f t="shared" si="1"/>
        <v>95197.45</v>
      </c>
      <c r="E22" s="49"/>
      <c r="F22" s="49"/>
      <c r="G22" s="49">
        <f t="shared" si="2"/>
        <v>68922</v>
      </c>
      <c r="H22" s="86" t="str">
        <f t="shared" si="3"/>
        <v> </v>
      </c>
      <c r="I22" s="49">
        <f t="shared" si="4"/>
        <v>0</v>
      </c>
      <c r="J22" s="49">
        <f t="shared" si="5"/>
        <v>14218.445</v>
      </c>
      <c r="K22" s="49">
        <f t="shared" si="6"/>
        <v>54703.53</v>
      </c>
      <c r="L22" s="49"/>
      <c r="M22" s="49">
        <v>0</v>
      </c>
      <c r="N22" s="49">
        <v>10821.14</v>
      </c>
      <c r="O22" s="49">
        <v>31825.36</v>
      </c>
      <c r="P22" s="49"/>
      <c r="Q22" s="49">
        <v>0</v>
      </c>
      <c r="R22" s="49">
        <v>17615.75</v>
      </c>
      <c r="S22" s="49">
        <v>77581.7</v>
      </c>
      <c r="T22" s="49"/>
    </row>
    <row r="23" spans="1:20" ht="12.75">
      <c r="A23" s="87">
        <f t="shared" si="7"/>
        <v>7</v>
      </c>
      <c r="B23" s="49" t="s">
        <v>162</v>
      </c>
      <c r="C23" s="49">
        <f t="shared" si="0"/>
        <v>37354.079999999994</v>
      </c>
      <c r="D23" s="49">
        <f t="shared" si="1"/>
        <v>37042.67</v>
      </c>
      <c r="E23" s="49"/>
      <c r="F23" s="49"/>
      <c r="G23" s="49">
        <f t="shared" si="2"/>
        <v>37198</v>
      </c>
      <c r="H23" s="86" t="str">
        <f t="shared" si="3"/>
        <v> </v>
      </c>
      <c r="I23" s="49">
        <f t="shared" si="4"/>
        <v>0</v>
      </c>
      <c r="J23" s="49">
        <f t="shared" si="5"/>
        <v>0</v>
      </c>
      <c r="K23" s="49">
        <f t="shared" si="6"/>
        <v>37198.375</v>
      </c>
      <c r="L23" s="49"/>
      <c r="M23" s="49">
        <v>0</v>
      </c>
      <c r="N23" s="49">
        <v>0</v>
      </c>
      <c r="O23" s="49">
        <f>37354.09-0.01</f>
        <v>37354.079999999994</v>
      </c>
      <c r="P23" s="49"/>
      <c r="Q23" s="49">
        <v>0</v>
      </c>
      <c r="R23" s="49">
        <v>0</v>
      </c>
      <c r="S23" s="49">
        <v>37042.67</v>
      </c>
      <c r="T23" s="49"/>
    </row>
    <row r="24" spans="1:20" ht="12.75">
      <c r="A24" s="87">
        <f t="shared" si="7"/>
        <v>8</v>
      </c>
      <c r="B24" s="49" t="s">
        <v>165</v>
      </c>
      <c r="C24" s="49">
        <f t="shared" si="0"/>
        <v>142882.19</v>
      </c>
      <c r="D24" s="49">
        <f t="shared" si="1"/>
        <v>174159.5</v>
      </c>
      <c r="E24" s="49"/>
      <c r="F24" s="49"/>
      <c r="G24" s="49">
        <f t="shared" si="2"/>
        <v>158521</v>
      </c>
      <c r="H24" s="86" t="str">
        <f t="shared" si="3"/>
        <v> </v>
      </c>
      <c r="I24" s="49">
        <f t="shared" si="4"/>
        <v>0</v>
      </c>
      <c r="J24" s="49">
        <f t="shared" si="5"/>
        <v>-7235.715</v>
      </c>
      <c r="K24" s="49">
        <f t="shared" si="6"/>
        <v>165756.56</v>
      </c>
      <c r="L24" s="49"/>
      <c r="M24" s="49">
        <v>0</v>
      </c>
      <c r="N24" s="49">
        <v>-10503.23</v>
      </c>
      <c r="O24" s="49">
        <v>153385.42</v>
      </c>
      <c r="P24" s="49"/>
      <c r="Q24" s="49">
        <v>0</v>
      </c>
      <c r="R24" s="49">
        <v>-3968.2</v>
      </c>
      <c r="S24" s="49">
        <v>178127.7</v>
      </c>
      <c r="T24" s="49"/>
    </row>
    <row r="25" spans="1:20" ht="12.75">
      <c r="A25" s="87">
        <f t="shared" si="7"/>
        <v>9</v>
      </c>
      <c r="B25" s="49" t="s">
        <v>167</v>
      </c>
      <c r="C25" s="49">
        <f t="shared" si="0"/>
        <v>62950.19</v>
      </c>
      <c r="D25" s="49">
        <f t="shared" si="1"/>
        <v>57183.8</v>
      </c>
      <c r="E25" s="49"/>
      <c r="F25" s="49"/>
      <c r="G25" s="49">
        <f t="shared" si="2"/>
        <v>60067</v>
      </c>
      <c r="H25" s="86" t="str">
        <f t="shared" si="3"/>
        <v> </v>
      </c>
      <c r="I25" s="49">
        <f t="shared" si="4"/>
        <v>0</v>
      </c>
      <c r="J25" s="49">
        <f t="shared" si="5"/>
        <v>-4156</v>
      </c>
      <c r="K25" s="49">
        <f t="shared" si="6"/>
        <v>64222.995</v>
      </c>
      <c r="L25" s="49"/>
      <c r="M25" s="49">
        <v>0</v>
      </c>
      <c r="N25" s="49">
        <v>-4156</v>
      </c>
      <c r="O25" s="49">
        <v>67106.19</v>
      </c>
      <c r="P25" s="49"/>
      <c r="Q25" s="49">
        <v>0</v>
      </c>
      <c r="R25" s="49">
        <v>-4156</v>
      </c>
      <c r="S25" s="49">
        <v>61339.8</v>
      </c>
      <c r="T25" s="49"/>
    </row>
    <row r="26" spans="1:20" ht="12.75">
      <c r="A26" s="87">
        <f t="shared" si="7"/>
        <v>10</v>
      </c>
      <c r="B26" s="49" t="s">
        <v>345</v>
      </c>
      <c r="C26" s="49">
        <f t="shared" si="0"/>
        <v>157063.2</v>
      </c>
      <c r="D26" s="49">
        <f t="shared" si="1"/>
        <v>157063.2</v>
      </c>
      <c r="E26" s="49"/>
      <c r="F26" s="49"/>
      <c r="G26" s="49">
        <f t="shared" si="2"/>
        <v>157063</v>
      </c>
      <c r="H26" s="86" t="str">
        <f t="shared" si="3"/>
        <v> </v>
      </c>
      <c r="I26" s="49">
        <f t="shared" si="4"/>
        <v>0</v>
      </c>
      <c r="J26" s="49">
        <f t="shared" si="5"/>
        <v>0</v>
      </c>
      <c r="K26" s="49">
        <f t="shared" si="6"/>
        <v>157063.2</v>
      </c>
      <c r="L26" s="49"/>
      <c r="M26" s="49">
        <v>0</v>
      </c>
      <c r="N26" s="49">
        <v>0</v>
      </c>
      <c r="O26" s="49">
        <v>157063.2</v>
      </c>
      <c r="P26" s="49"/>
      <c r="Q26" s="49">
        <v>0</v>
      </c>
      <c r="R26" s="49">
        <v>0</v>
      </c>
      <c r="S26" s="49">
        <v>157063.2</v>
      </c>
      <c r="T26" s="49"/>
    </row>
    <row r="27" spans="1:20" ht="12.75">
      <c r="A27" s="87">
        <f t="shared" si="7"/>
        <v>11</v>
      </c>
      <c r="B27" s="49" t="s">
        <v>636</v>
      </c>
      <c r="C27" s="49">
        <f t="shared" si="0"/>
        <v>137252.95</v>
      </c>
      <c r="D27" s="49">
        <f t="shared" si="1"/>
        <v>-25983.75</v>
      </c>
      <c r="E27" s="49"/>
      <c r="F27" s="49"/>
      <c r="G27" s="49">
        <f t="shared" si="2"/>
        <v>55635</v>
      </c>
      <c r="H27" s="86" t="str">
        <f t="shared" si="3"/>
        <v> </v>
      </c>
      <c r="I27" s="49">
        <f t="shared" si="4"/>
        <v>0</v>
      </c>
      <c r="J27" s="49">
        <f t="shared" si="5"/>
        <v>2766.675</v>
      </c>
      <c r="K27" s="49">
        <f t="shared" si="6"/>
        <v>52867.925</v>
      </c>
      <c r="L27" s="49"/>
      <c r="M27" s="49">
        <v>0</v>
      </c>
      <c r="N27" s="49">
        <f>-13464.15+13102</f>
        <v>-362.14999999999964</v>
      </c>
      <c r="O27" s="49">
        <f>107420.1+30195</f>
        <v>137615.1</v>
      </c>
      <c r="P27" s="49"/>
      <c r="Q27" s="49">
        <v>0</v>
      </c>
      <c r="R27" s="49">
        <f>-7206.5+13102</f>
        <v>5895.5</v>
      </c>
      <c r="S27" s="49">
        <f>-62074.25+30195</f>
        <v>-31879.25</v>
      </c>
      <c r="T27" s="49"/>
    </row>
    <row r="28" spans="1:20" ht="12.75">
      <c r="A28" s="87">
        <f t="shared" si="7"/>
        <v>12</v>
      </c>
      <c r="B28" s="49" t="s">
        <v>637</v>
      </c>
      <c r="C28" s="49">
        <f t="shared" si="0"/>
        <v>2992.7500000000073</v>
      </c>
      <c r="D28" s="49">
        <f t="shared" si="1"/>
        <v>6414.349999999991</v>
      </c>
      <c r="E28" s="49"/>
      <c r="F28" s="49"/>
      <c r="G28" s="49">
        <f t="shared" si="2"/>
        <v>4704</v>
      </c>
      <c r="H28" s="86" t="str">
        <f t="shared" si="3"/>
        <v> </v>
      </c>
      <c r="I28" s="49">
        <f t="shared" si="4"/>
        <v>0</v>
      </c>
      <c r="J28" s="49">
        <f t="shared" si="5"/>
        <v>-833.2749999999978</v>
      </c>
      <c r="K28" s="49">
        <f t="shared" si="6"/>
        <v>5536.824999999997</v>
      </c>
      <c r="L28" s="49"/>
      <c r="M28" s="49">
        <v>0</v>
      </c>
      <c r="N28" s="49">
        <f>53435.9-52974</f>
        <v>461.90000000000146</v>
      </c>
      <c r="O28" s="49">
        <f>126136.85-123606</f>
        <v>2530.850000000006</v>
      </c>
      <c r="P28" s="49"/>
      <c r="Q28" s="49">
        <v>0</v>
      </c>
      <c r="R28" s="49">
        <f>50845.55-52974</f>
        <v>-2128.449999999997</v>
      </c>
      <c r="S28" s="49">
        <f>132148.8-123606</f>
        <v>8542.799999999988</v>
      </c>
      <c r="T28" s="49"/>
    </row>
    <row r="29" spans="1:20" ht="12.75">
      <c r="A29" s="87">
        <f t="shared" si="7"/>
        <v>13</v>
      </c>
      <c r="B29" s="49" t="s">
        <v>189</v>
      </c>
      <c r="C29" s="49">
        <f t="shared" si="0"/>
        <v>43812.07</v>
      </c>
      <c r="D29" s="49">
        <f t="shared" si="1"/>
        <v>37344.88</v>
      </c>
      <c r="E29" s="49"/>
      <c r="F29" s="49"/>
      <c r="G29" s="49">
        <f t="shared" si="2"/>
        <v>40578</v>
      </c>
      <c r="H29" s="86" t="str">
        <f t="shared" si="3"/>
        <v> </v>
      </c>
      <c r="I29" s="49">
        <f t="shared" si="4"/>
        <v>0</v>
      </c>
      <c r="J29" s="49">
        <f t="shared" si="5"/>
        <v>0</v>
      </c>
      <c r="K29" s="49">
        <f t="shared" si="6"/>
        <v>40578.475</v>
      </c>
      <c r="L29" s="49"/>
      <c r="M29" s="49">
        <v>0</v>
      </c>
      <c r="N29" s="49">
        <v>0</v>
      </c>
      <c r="O29" s="49">
        <v>43812.07</v>
      </c>
      <c r="P29" s="49"/>
      <c r="Q29" s="49">
        <v>0</v>
      </c>
      <c r="R29" s="49">
        <v>0</v>
      </c>
      <c r="S29" s="49">
        <v>37344.88</v>
      </c>
      <c r="T29" s="49"/>
    </row>
    <row r="30" spans="1:20" ht="12.75">
      <c r="A30" s="87">
        <f t="shared" si="7"/>
        <v>14</v>
      </c>
      <c r="B30" s="49" t="s">
        <v>193</v>
      </c>
      <c r="C30" s="49">
        <f t="shared" si="0"/>
        <v>-3.5</v>
      </c>
      <c r="D30" s="49">
        <f t="shared" si="1"/>
        <v>7</v>
      </c>
      <c r="E30" s="49"/>
      <c r="F30" s="49"/>
      <c r="G30" s="49">
        <f t="shared" si="2"/>
        <v>2</v>
      </c>
      <c r="H30" s="86" t="str">
        <f t="shared" si="3"/>
        <v> </v>
      </c>
      <c r="I30" s="49">
        <f t="shared" si="4"/>
        <v>0</v>
      </c>
      <c r="J30" s="49">
        <f t="shared" si="5"/>
        <v>0.3</v>
      </c>
      <c r="K30" s="49">
        <f t="shared" si="6"/>
        <v>1.4500000000000002</v>
      </c>
      <c r="L30" s="49"/>
      <c r="M30" s="49">
        <v>0</v>
      </c>
      <c r="N30" s="49">
        <v>0.3</v>
      </c>
      <c r="O30" s="49">
        <v>-3.8</v>
      </c>
      <c r="P30" s="49"/>
      <c r="Q30" s="49">
        <v>0</v>
      </c>
      <c r="R30" s="49">
        <v>0.3</v>
      </c>
      <c r="S30" s="49">
        <v>6.7</v>
      </c>
      <c r="T30" s="49"/>
    </row>
    <row r="31" spans="1:20" ht="12.75">
      <c r="A31" s="87">
        <f t="shared" si="7"/>
        <v>15</v>
      </c>
      <c r="B31" s="49" t="s">
        <v>195</v>
      </c>
      <c r="C31" s="49">
        <f t="shared" si="0"/>
        <v>250031.75</v>
      </c>
      <c r="D31" s="49">
        <f t="shared" si="1"/>
        <v>237248.84000000003</v>
      </c>
      <c r="E31" s="49"/>
      <c r="F31" s="49"/>
      <c r="G31" s="49">
        <f t="shared" si="2"/>
        <v>243640</v>
      </c>
      <c r="H31" s="86" t="str">
        <f t="shared" si="3"/>
        <v> </v>
      </c>
      <c r="I31" s="49">
        <f t="shared" si="4"/>
        <v>0</v>
      </c>
      <c r="J31" s="49">
        <f t="shared" si="5"/>
        <v>42426.53</v>
      </c>
      <c r="K31" s="49">
        <f t="shared" si="6"/>
        <v>201213.765</v>
      </c>
      <c r="L31" s="49"/>
      <c r="M31" s="49">
        <v>0</v>
      </c>
      <c r="N31" s="49">
        <v>43333.48</v>
      </c>
      <c r="O31" s="49">
        <v>206698.27</v>
      </c>
      <c r="P31" s="49"/>
      <c r="Q31" s="49">
        <v>0</v>
      </c>
      <c r="R31" s="49">
        <v>41519.58</v>
      </c>
      <c r="S31" s="49">
        <v>195729.26</v>
      </c>
      <c r="T31" s="49"/>
    </row>
    <row r="32" spans="1:20" ht="12.75">
      <c r="A32" s="87">
        <f t="shared" si="7"/>
        <v>16</v>
      </c>
      <c r="B32" s="49" t="s">
        <v>375</v>
      </c>
      <c r="C32" s="49">
        <f t="shared" si="0"/>
        <v>49553.22</v>
      </c>
      <c r="D32" s="49">
        <f t="shared" si="1"/>
        <v>75049.78</v>
      </c>
      <c r="E32" s="49"/>
      <c r="F32" s="49"/>
      <c r="G32" s="49">
        <f t="shared" si="2"/>
        <v>62302</v>
      </c>
      <c r="H32" s="86" t="str">
        <f t="shared" si="3"/>
        <v> </v>
      </c>
      <c r="I32" s="49">
        <f t="shared" si="4"/>
        <v>0</v>
      </c>
      <c r="J32" s="49">
        <f t="shared" si="5"/>
        <v>0</v>
      </c>
      <c r="K32" s="49">
        <f t="shared" si="6"/>
        <v>62301.5</v>
      </c>
      <c r="L32" s="49"/>
      <c r="M32" s="49">
        <v>0</v>
      </c>
      <c r="N32" s="49">
        <v>0</v>
      </c>
      <c r="O32" s="49">
        <v>49553.22</v>
      </c>
      <c r="P32" s="49"/>
      <c r="Q32" s="49">
        <v>0</v>
      </c>
      <c r="R32" s="49">
        <v>0</v>
      </c>
      <c r="S32" s="49">
        <v>75049.78</v>
      </c>
      <c r="T32" s="49"/>
    </row>
    <row r="33" spans="1:20" ht="12.75">
      <c r="A33" s="87">
        <f t="shared" si="7"/>
        <v>17</v>
      </c>
      <c r="B33" s="49" t="s">
        <v>638</v>
      </c>
      <c r="C33" s="49">
        <f t="shared" si="0"/>
        <v>228739</v>
      </c>
      <c r="D33" s="49">
        <f t="shared" si="1"/>
        <v>157206.34999999998</v>
      </c>
      <c r="E33" s="49"/>
      <c r="F33" s="49"/>
      <c r="G33" s="49">
        <f t="shared" si="2"/>
        <v>192973</v>
      </c>
      <c r="H33" s="86" t="str">
        <f t="shared" si="3"/>
        <v> </v>
      </c>
      <c r="I33" s="49">
        <f t="shared" si="4"/>
        <v>0</v>
      </c>
      <c r="J33" s="49">
        <f t="shared" si="5"/>
        <v>16656.675</v>
      </c>
      <c r="K33" s="49">
        <f t="shared" si="6"/>
        <v>176316</v>
      </c>
      <c r="L33" s="49"/>
      <c r="M33" s="49">
        <v>0</v>
      </c>
      <c r="N33" s="49">
        <v>20008.8</v>
      </c>
      <c r="O33" s="49">
        <v>208730.2</v>
      </c>
      <c r="P33" s="49"/>
      <c r="Q33" s="49">
        <v>0</v>
      </c>
      <c r="R33" s="49">
        <v>13304.55</v>
      </c>
      <c r="S33" s="49">
        <v>143901.8</v>
      </c>
      <c r="T33" s="49"/>
    </row>
    <row r="34" spans="1:20" ht="12.75">
      <c r="A34" s="87">
        <f t="shared" si="7"/>
        <v>18</v>
      </c>
      <c r="B34" s="49" t="s">
        <v>639</v>
      </c>
      <c r="C34" s="49">
        <f t="shared" si="0"/>
        <v>44886.18</v>
      </c>
      <c r="D34" s="49">
        <f t="shared" si="1"/>
        <v>11222.31</v>
      </c>
      <c r="E34" s="49"/>
      <c r="F34" s="49"/>
      <c r="G34" s="49">
        <f t="shared" si="2"/>
        <v>28054</v>
      </c>
      <c r="H34" s="86" t="str">
        <f t="shared" si="3"/>
        <v> </v>
      </c>
      <c r="I34" s="49">
        <f t="shared" si="4"/>
        <v>0</v>
      </c>
      <c r="J34" s="49">
        <f t="shared" si="5"/>
        <v>10429.375</v>
      </c>
      <c r="K34" s="49">
        <f t="shared" si="6"/>
        <v>17624.87</v>
      </c>
      <c r="L34" s="49"/>
      <c r="M34" s="49">
        <v>0</v>
      </c>
      <c r="N34" s="49">
        <v>10751.75</v>
      </c>
      <c r="O34" s="49">
        <v>34134.43</v>
      </c>
      <c r="P34" s="49"/>
      <c r="Q34" s="49">
        <v>0</v>
      </c>
      <c r="R34" s="49">
        <v>10107</v>
      </c>
      <c r="S34" s="49">
        <v>1115.31</v>
      </c>
      <c r="T34" s="49"/>
    </row>
    <row r="35" spans="1:20" ht="12.75">
      <c r="A35" s="87">
        <f t="shared" si="7"/>
        <v>19</v>
      </c>
      <c r="B35" s="49" t="s">
        <v>430</v>
      </c>
      <c r="C35" s="49">
        <f t="shared" si="0"/>
        <v>-17605</v>
      </c>
      <c r="D35" s="49">
        <f t="shared" si="1"/>
        <v>0</v>
      </c>
      <c r="E35" s="49"/>
      <c r="F35" s="49"/>
      <c r="G35" s="49">
        <f t="shared" si="2"/>
        <v>-8803</v>
      </c>
      <c r="H35" s="86" t="str">
        <f t="shared" si="3"/>
        <v> </v>
      </c>
      <c r="I35" s="49">
        <f t="shared" si="4"/>
        <v>0</v>
      </c>
      <c r="J35" s="49">
        <f t="shared" si="5"/>
        <v>-382.375</v>
      </c>
      <c r="K35" s="49">
        <f t="shared" si="6"/>
        <v>-8420.125</v>
      </c>
      <c r="L35" s="49"/>
      <c r="M35" s="49">
        <v>0</v>
      </c>
      <c r="N35" s="49">
        <v>-764.75</v>
      </c>
      <c r="O35" s="49">
        <v>-16840.25</v>
      </c>
      <c r="P35" s="49"/>
      <c r="Q35" s="49">
        <v>0</v>
      </c>
      <c r="R35" s="49">
        <v>0</v>
      </c>
      <c r="S35" s="49">
        <v>0</v>
      </c>
      <c r="T35" s="49"/>
    </row>
    <row r="36" spans="1:20" ht="12.75">
      <c r="A36" s="87">
        <f t="shared" si="7"/>
        <v>20</v>
      </c>
      <c r="B36" s="49" t="s">
        <v>204</v>
      </c>
      <c r="C36" s="49">
        <f t="shared" si="0"/>
        <v>0</v>
      </c>
      <c r="D36" s="49">
        <f t="shared" si="1"/>
        <v>-35202.2</v>
      </c>
      <c r="E36" s="49"/>
      <c r="F36" s="49"/>
      <c r="G36" s="49">
        <f t="shared" si="2"/>
        <v>-17601</v>
      </c>
      <c r="H36" s="86" t="str">
        <f t="shared" si="3"/>
        <v> </v>
      </c>
      <c r="I36" s="49">
        <f t="shared" si="4"/>
        <v>0</v>
      </c>
      <c r="J36" s="49">
        <f t="shared" si="5"/>
        <v>0</v>
      </c>
      <c r="K36" s="49">
        <f t="shared" si="6"/>
        <v>-17601.1</v>
      </c>
      <c r="L36" s="49"/>
      <c r="M36" s="49">
        <v>0</v>
      </c>
      <c r="N36" s="49">
        <v>0</v>
      </c>
      <c r="O36" s="49">
        <f>-25310+25310</f>
        <v>0</v>
      </c>
      <c r="P36" s="49"/>
      <c r="Q36" s="49">
        <v>0</v>
      </c>
      <c r="R36" s="49">
        <v>0</v>
      </c>
      <c r="S36" s="49">
        <f>-60512.2+25310</f>
        <v>-35202.2</v>
      </c>
      <c r="T36" s="49"/>
    </row>
    <row r="37" spans="1:20" ht="12.75">
      <c r="A37" s="87">
        <f t="shared" si="7"/>
        <v>21</v>
      </c>
      <c r="B37" s="49" t="s">
        <v>640</v>
      </c>
      <c r="C37" s="49">
        <f t="shared" si="0"/>
        <v>90506.4</v>
      </c>
      <c r="D37" s="49">
        <f t="shared" si="1"/>
        <v>106896.55</v>
      </c>
      <c r="E37" s="49"/>
      <c r="F37" s="49"/>
      <c r="G37" s="49">
        <f t="shared" si="2"/>
        <v>98701</v>
      </c>
      <c r="H37" s="86" t="str">
        <f t="shared" si="3"/>
        <v> </v>
      </c>
      <c r="I37" s="49">
        <f t="shared" si="4"/>
        <v>0</v>
      </c>
      <c r="J37" s="49">
        <f t="shared" si="5"/>
        <v>7974.475</v>
      </c>
      <c r="K37" s="49">
        <f t="shared" si="6"/>
        <v>90727</v>
      </c>
      <c r="L37" s="49"/>
      <c r="M37" s="49">
        <v>0</v>
      </c>
      <c r="N37" s="49">
        <f>-38953.6+38733</f>
        <v>-220.59999999999854</v>
      </c>
      <c r="O37" s="49">
        <v>90727</v>
      </c>
      <c r="P37" s="49"/>
      <c r="Q37" s="49">
        <v>0</v>
      </c>
      <c r="R37" s="49">
        <f>-22563.45+38733</f>
        <v>16169.55</v>
      </c>
      <c r="S37" s="49">
        <v>90727</v>
      </c>
      <c r="T37" s="49"/>
    </row>
    <row r="38" spans="1:20" ht="12.75">
      <c r="A38" s="87">
        <f t="shared" si="7"/>
        <v>22</v>
      </c>
      <c r="B38" s="49" t="s">
        <v>641</v>
      </c>
      <c r="C38" s="49">
        <f t="shared" si="0"/>
        <v>932.05</v>
      </c>
      <c r="D38" s="49">
        <f t="shared" si="1"/>
        <v>-723.45</v>
      </c>
      <c r="E38" s="49"/>
      <c r="F38" s="49"/>
      <c r="G38" s="49">
        <f t="shared" si="2"/>
        <v>104</v>
      </c>
      <c r="H38" s="86" t="str">
        <f t="shared" si="3"/>
        <v> </v>
      </c>
      <c r="I38" s="49">
        <f t="shared" si="4"/>
        <v>0</v>
      </c>
      <c r="J38" s="49">
        <f t="shared" si="5"/>
        <v>104.29999999999995</v>
      </c>
      <c r="K38" s="49">
        <f t="shared" si="6"/>
        <v>0</v>
      </c>
      <c r="L38" s="49"/>
      <c r="M38" s="49">
        <v>0</v>
      </c>
      <c r="N38" s="49">
        <v>932.05</v>
      </c>
      <c r="O38" s="49">
        <v>0</v>
      </c>
      <c r="P38" s="49"/>
      <c r="Q38" s="49">
        <v>0</v>
      </c>
      <c r="R38" s="49">
        <v>-723.45</v>
      </c>
      <c r="S38" s="49">
        <v>0</v>
      </c>
      <c r="T38" s="49"/>
    </row>
    <row r="39" spans="1:20" ht="12.75">
      <c r="A39" s="87">
        <f t="shared" si="7"/>
        <v>23</v>
      </c>
      <c r="B39" s="49" t="s">
        <v>210</v>
      </c>
      <c r="C39" s="49">
        <f t="shared" si="0"/>
        <v>2369.1</v>
      </c>
      <c r="D39" s="49">
        <f t="shared" si="1"/>
        <v>2369.1</v>
      </c>
      <c r="E39" s="49"/>
      <c r="F39" s="49"/>
      <c r="G39" s="49">
        <f t="shared" si="2"/>
        <v>2369</v>
      </c>
      <c r="H39" s="86" t="str">
        <f t="shared" si="3"/>
        <v> </v>
      </c>
      <c r="I39" s="49">
        <f t="shared" si="4"/>
        <v>0</v>
      </c>
      <c r="J39" s="49">
        <f t="shared" si="5"/>
        <v>0</v>
      </c>
      <c r="K39" s="49">
        <f t="shared" si="6"/>
        <v>2369.1</v>
      </c>
      <c r="L39" s="49"/>
      <c r="M39" s="49">
        <v>0</v>
      </c>
      <c r="N39" s="49">
        <v>0</v>
      </c>
      <c r="O39" s="49">
        <v>2369.1</v>
      </c>
      <c r="P39" s="49"/>
      <c r="Q39" s="49">
        <v>0</v>
      </c>
      <c r="R39" s="49">
        <v>0</v>
      </c>
      <c r="S39" s="49">
        <v>2369.1</v>
      </c>
      <c r="T39" s="49"/>
    </row>
    <row r="40" spans="1:20" ht="12.75">
      <c r="A40" s="87">
        <f t="shared" si="7"/>
        <v>24</v>
      </c>
      <c r="B40" s="49" t="s">
        <v>213</v>
      </c>
      <c r="C40" s="49">
        <f t="shared" si="0"/>
        <v>-2837.1</v>
      </c>
      <c r="D40" s="49">
        <f t="shared" si="1"/>
        <v>-709.45</v>
      </c>
      <c r="E40" s="49"/>
      <c r="F40" s="49"/>
      <c r="G40" s="49">
        <f t="shared" si="2"/>
        <v>-1773</v>
      </c>
      <c r="H40" s="86" t="str">
        <f t="shared" si="3"/>
        <v> </v>
      </c>
      <c r="I40" s="49">
        <f t="shared" si="4"/>
        <v>0</v>
      </c>
      <c r="J40" s="49">
        <f t="shared" si="5"/>
        <v>0</v>
      </c>
      <c r="K40" s="49">
        <f t="shared" si="6"/>
        <v>-1773.275</v>
      </c>
      <c r="L40" s="49"/>
      <c r="M40" s="49">
        <v>0</v>
      </c>
      <c r="N40" s="49">
        <v>0</v>
      </c>
      <c r="O40" s="49">
        <v>-2837.1</v>
      </c>
      <c r="P40" s="49"/>
      <c r="Q40" s="49">
        <v>0</v>
      </c>
      <c r="R40" s="49">
        <v>0</v>
      </c>
      <c r="S40" s="49">
        <v>-709.45</v>
      </c>
      <c r="T40" s="49"/>
    </row>
    <row r="41" spans="1:20" ht="12.75">
      <c r="A41" s="87">
        <f t="shared" si="7"/>
        <v>25</v>
      </c>
      <c r="B41" s="49" t="s">
        <v>105</v>
      </c>
      <c r="C41" s="49">
        <f t="shared" si="0"/>
        <v>0</v>
      </c>
      <c r="D41" s="49">
        <f t="shared" si="1"/>
        <v>-27129.55</v>
      </c>
      <c r="E41" s="49"/>
      <c r="F41" s="49"/>
      <c r="G41" s="49">
        <f t="shared" si="2"/>
        <v>-13565</v>
      </c>
      <c r="H41" s="86" t="str">
        <f t="shared" si="3"/>
        <v> </v>
      </c>
      <c r="I41" s="49">
        <f t="shared" si="4"/>
        <v>0</v>
      </c>
      <c r="J41" s="49">
        <f t="shared" si="5"/>
        <v>-11.025</v>
      </c>
      <c r="K41" s="49">
        <f t="shared" si="6"/>
        <v>-13553.75</v>
      </c>
      <c r="L41" s="49"/>
      <c r="M41" s="49">
        <v>0</v>
      </c>
      <c r="N41" s="49">
        <v>0</v>
      </c>
      <c r="O41" s="49">
        <v>0</v>
      </c>
      <c r="P41" s="49"/>
      <c r="Q41" s="49">
        <v>0</v>
      </c>
      <c r="R41" s="49">
        <v>-22.05</v>
      </c>
      <c r="S41" s="49">
        <v>-27107.5</v>
      </c>
      <c r="T41" s="49"/>
    </row>
    <row r="42" spans="1:20" ht="12.75">
      <c r="A42" s="87">
        <f t="shared" si="7"/>
        <v>26</v>
      </c>
      <c r="B42" s="49" t="s">
        <v>214</v>
      </c>
      <c r="C42" s="49">
        <f t="shared" si="0"/>
        <v>600</v>
      </c>
      <c r="D42" s="49">
        <f t="shared" si="1"/>
        <v>0</v>
      </c>
      <c r="E42" s="49"/>
      <c r="F42" s="49"/>
      <c r="G42" s="49">
        <f t="shared" si="2"/>
        <v>300</v>
      </c>
      <c r="H42" s="86" t="str">
        <f t="shared" si="3"/>
        <v> </v>
      </c>
      <c r="I42" s="49">
        <f t="shared" si="4"/>
        <v>0</v>
      </c>
      <c r="J42" s="49">
        <f t="shared" si="5"/>
        <v>300</v>
      </c>
      <c r="K42" s="49">
        <f t="shared" si="6"/>
        <v>0</v>
      </c>
      <c r="L42" s="49"/>
      <c r="M42" s="49">
        <v>0</v>
      </c>
      <c r="N42" s="49">
        <v>600</v>
      </c>
      <c r="O42" s="49">
        <v>0</v>
      </c>
      <c r="P42" s="49"/>
      <c r="Q42" s="49">
        <v>0</v>
      </c>
      <c r="R42" s="49">
        <v>0</v>
      </c>
      <c r="S42" s="49">
        <v>0</v>
      </c>
      <c r="T42" s="49"/>
    </row>
    <row r="43" spans="1:20" ht="12.75">
      <c r="A43" s="87">
        <f t="shared" si="7"/>
        <v>27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ht="12.75">
      <c r="A44" s="87">
        <f t="shared" si="7"/>
        <v>28</v>
      </c>
      <c r="B44" s="49" t="s">
        <v>642</v>
      </c>
      <c r="C44" s="49">
        <v>-64736.54</v>
      </c>
      <c r="D44" s="49">
        <v>-45036.81</v>
      </c>
      <c r="E44" s="49">
        <f aca="true" t="shared" si="8" ref="E44:F48">-C44</f>
        <v>64736.54</v>
      </c>
      <c r="F44" s="49">
        <f t="shared" si="8"/>
        <v>45036.81</v>
      </c>
      <c r="G44" s="49">
        <f>ROUND(SUM(C44:F44)/2,0)</f>
        <v>0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ht="12.75">
      <c r="A45" s="87">
        <f t="shared" si="7"/>
        <v>29</v>
      </c>
      <c r="B45" s="49" t="s">
        <v>215</v>
      </c>
      <c r="C45" s="49">
        <v>2203278.88</v>
      </c>
      <c r="D45" s="49">
        <v>1613118.5</v>
      </c>
      <c r="E45" s="49">
        <f t="shared" si="8"/>
        <v>-2203278.88</v>
      </c>
      <c r="F45" s="49">
        <f t="shared" si="8"/>
        <v>-1613118.5</v>
      </c>
      <c r="G45" s="49">
        <f>ROUND(SUM(C45:F45)/2,0)</f>
        <v>0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ht="12.75">
      <c r="A46" s="87">
        <f t="shared" si="7"/>
        <v>30</v>
      </c>
      <c r="B46" s="49" t="s">
        <v>216</v>
      </c>
      <c r="C46" s="49">
        <v>2593.23</v>
      </c>
      <c r="D46" s="49">
        <v>4837.54</v>
      </c>
      <c r="E46" s="49">
        <f t="shared" si="8"/>
        <v>-2593.23</v>
      </c>
      <c r="F46" s="49">
        <f t="shared" si="8"/>
        <v>-4837.54</v>
      </c>
      <c r="G46" s="49">
        <f>ROUND(SUM(C46:F46)/2,0)</f>
        <v>0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ht="12.75">
      <c r="A47" s="87">
        <f t="shared" si="7"/>
        <v>31</v>
      </c>
      <c r="B47" s="5" t="s">
        <v>217</v>
      </c>
      <c r="C47" s="49">
        <v>1607</v>
      </c>
      <c r="D47" s="49">
        <v>0</v>
      </c>
      <c r="E47" s="49">
        <f t="shared" si="8"/>
        <v>-1607</v>
      </c>
      <c r="F47" s="49">
        <f t="shared" si="8"/>
        <v>0</v>
      </c>
      <c r="G47" s="49">
        <f>ROUND(SUM(C47:F47)/2,0)</f>
        <v>0</v>
      </c>
      <c r="H47" s="88"/>
      <c r="I47" s="49"/>
      <c r="J47" s="49"/>
      <c r="K47" s="49"/>
      <c r="L47" s="88"/>
      <c r="M47" s="49"/>
      <c r="N47" s="49"/>
      <c r="O47" s="49"/>
      <c r="P47" s="49"/>
      <c r="Q47" s="49"/>
      <c r="R47" s="49"/>
      <c r="S47" s="49"/>
      <c r="T47" s="49"/>
    </row>
    <row r="48" spans="1:20" ht="12.75">
      <c r="A48" s="87">
        <f t="shared" si="7"/>
        <v>32</v>
      </c>
      <c r="B48" s="49" t="s">
        <v>218</v>
      </c>
      <c r="C48" s="49">
        <v>1113475</v>
      </c>
      <c r="D48" s="49">
        <v>963376.4</v>
      </c>
      <c r="E48" s="49">
        <f t="shared" si="8"/>
        <v>-1113475</v>
      </c>
      <c r="F48" s="49">
        <f t="shared" si="8"/>
        <v>-963376.4</v>
      </c>
      <c r="G48" s="49">
        <f>ROUND(SUM(C48:F48)/2,0)</f>
        <v>0</v>
      </c>
      <c r="H48" s="88"/>
      <c r="I48" s="49"/>
      <c r="J48" s="49"/>
      <c r="K48" s="49"/>
      <c r="L48" s="88"/>
      <c r="M48" s="49"/>
      <c r="N48" s="49"/>
      <c r="O48" s="49"/>
      <c r="P48" s="49"/>
      <c r="Q48" s="49"/>
      <c r="R48" s="49"/>
      <c r="S48" s="49"/>
      <c r="T48" s="49"/>
    </row>
    <row r="49" spans="1:20" ht="12.75">
      <c r="A49" s="87">
        <f t="shared" si="7"/>
        <v>33</v>
      </c>
      <c r="B49" s="49"/>
      <c r="C49" s="49"/>
      <c r="D49" s="49"/>
      <c r="E49" s="49"/>
      <c r="F49" s="49"/>
      <c r="G49" s="49"/>
      <c r="H49" s="88"/>
      <c r="I49" s="49"/>
      <c r="J49" s="49"/>
      <c r="K49" s="49"/>
      <c r="L49" s="88"/>
      <c r="M49" s="49"/>
      <c r="N49" s="49"/>
      <c r="O49" s="49"/>
      <c r="P49" s="49"/>
      <c r="Q49" s="49"/>
      <c r="R49" s="49"/>
      <c r="S49" s="49"/>
      <c r="T49" s="49"/>
    </row>
    <row r="50" spans="1:20" ht="13.5" thickBot="1">
      <c r="A50" s="87">
        <f t="shared" si="7"/>
        <v>34</v>
      </c>
      <c r="B50" s="49" t="s">
        <v>222</v>
      </c>
      <c r="C50" s="53">
        <f>SUM(C17:C49)</f>
        <v>6394893.100000001</v>
      </c>
      <c r="D50" s="53">
        <f>SUM(D17:D49)</f>
        <v>6777782.06</v>
      </c>
      <c r="E50" s="53">
        <f>SUM(E17:E49)</f>
        <v>-3256217.57</v>
      </c>
      <c r="F50" s="53">
        <f>SUM(F17:F49)</f>
        <v>-2536295.63</v>
      </c>
      <c r="G50" s="53">
        <f>SUM(G17:G49)</f>
        <v>3690080</v>
      </c>
      <c r="H50" s="88"/>
      <c r="I50" s="53">
        <f>SUM(I17:I49)</f>
        <v>0</v>
      </c>
      <c r="J50" s="53">
        <f>SUM(J17:J49)</f>
        <v>1755313.9150000005</v>
      </c>
      <c r="K50" s="53">
        <f>SUM(K17:K49)</f>
        <v>1934767.0650000004</v>
      </c>
      <c r="L50" s="88"/>
      <c r="M50" s="53">
        <f>SUM(M17:M49)</f>
        <v>0</v>
      </c>
      <c r="N50" s="53">
        <f>SUM(N17:N49)</f>
        <v>1059232.83</v>
      </c>
      <c r="O50" s="53">
        <f>SUM(O17:O49)</f>
        <v>2079442.7</v>
      </c>
      <c r="P50" s="49"/>
      <c r="Q50" s="53">
        <f>SUM(Q17:Q49)</f>
        <v>0</v>
      </c>
      <c r="R50" s="53">
        <f>SUM(R17:R49)</f>
        <v>2451394.9999999995</v>
      </c>
      <c r="S50" s="53">
        <f>SUM(S17:S49)</f>
        <v>1790091.4300000002</v>
      </c>
      <c r="T50" s="49"/>
    </row>
    <row r="51" spans="1:20" ht="13.5" thickTop="1">
      <c r="A51" s="89"/>
      <c r="B51" s="49"/>
      <c r="C51" s="54"/>
      <c r="D51" s="54"/>
      <c r="E51" s="54"/>
      <c r="F51" s="54"/>
      <c r="G51" s="54"/>
      <c r="H51" s="88"/>
      <c r="I51" s="54"/>
      <c r="J51" s="54"/>
      <c r="K51" s="54"/>
      <c r="L51" s="88"/>
      <c r="M51" s="54"/>
      <c r="N51" s="54"/>
      <c r="O51" s="54"/>
      <c r="P51" s="49"/>
      <c r="Q51" s="54"/>
      <c r="R51" s="54"/>
      <c r="S51" s="54"/>
      <c r="T51" s="49"/>
    </row>
    <row r="52" spans="1:20" ht="12.7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88"/>
      <c r="M52" s="49"/>
      <c r="N52" s="49"/>
      <c r="O52" s="49"/>
      <c r="P52" s="49"/>
      <c r="Q52" s="49"/>
      <c r="R52" s="49"/>
      <c r="S52" s="49"/>
      <c r="T52" s="49"/>
    </row>
    <row r="53" spans="1:20" ht="12.75">
      <c r="A53" s="48"/>
      <c r="B53" s="49"/>
      <c r="C53" s="49"/>
      <c r="D53" s="49" t="s">
        <v>24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</sheetData>
  <sheetProtection/>
  <printOptions/>
  <pageMargins left="0.5" right="0.25" top="0.75" bottom="0.5" header="0.25" footer="0.25"/>
  <pageSetup fitToHeight="1" fitToWidth="1" horizontalDpi="600" verticalDpi="600" orientation="landscape" paperSize="5" scale="48" r:id="rId1"/>
  <headerFooter alignWithMargins="0">
    <oddHeader>&amp;RSTATEMENT AG-3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913"/>
  <sheetViews>
    <sheetView showOutlineSymbols="0" view="pageBreakPreview" zoomScale="60" zoomScaleNormal="87" workbookViewId="0" topLeftCell="A1">
      <selection activeCell="A1" sqref="A1"/>
    </sheetView>
  </sheetViews>
  <sheetFormatPr defaultColWidth="12.7109375" defaultRowHeight="12.75"/>
  <cols>
    <col min="1" max="1" width="5.8515625" style="7" customWidth="1"/>
    <col min="2" max="2" width="48.28125" style="2" customWidth="1"/>
    <col min="3" max="3" width="14.140625" style="2" customWidth="1"/>
    <col min="4" max="4" width="13.57421875" style="2" customWidth="1"/>
    <col min="5" max="5" width="15.8515625" style="2" customWidth="1"/>
    <col min="6" max="6" width="16.421875" style="2" customWidth="1"/>
    <col min="7" max="7" width="18.421875" style="2" customWidth="1"/>
    <col min="8" max="8" width="3.140625" style="2" customWidth="1"/>
    <col min="9" max="11" width="18.421875" style="2" customWidth="1"/>
    <col min="12" max="12" width="3.00390625" style="2" customWidth="1"/>
    <col min="13" max="13" width="14.00390625" style="2" customWidth="1"/>
    <col min="14" max="14" width="15.8515625" style="2" customWidth="1"/>
    <col min="15" max="15" width="15.140625" style="2" customWidth="1"/>
    <col min="16" max="16" width="2.8515625" style="2" customWidth="1"/>
    <col min="17" max="17" width="14.140625" style="2" hidden="1" customWidth="1"/>
    <col min="18" max="18" width="15.8515625" style="2" hidden="1" customWidth="1"/>
    <col min="19" max="19" width="19.28125" style="2" hidden="1" customWidth="1"/>
    <col min="20" max="20" width="17.7109375" style="2" bestFit="1" customWidth="1"/>
    <col min="21" max="16384" width="12.7109375" style="2" customWidth="1"/>
  </cols>
  <sheetData>
    <row r="1" spans="2:20" ht="12.75">
      <c r="B1" s="20" t="s">
        <v>67</v>
      </c>
      <c r="G1" s="3"/>
      <c r="H1" s="3"/>
      <c r="I1" s="3"/>
      <c r="J1" s="3"/>
      <c r="K1" s="3"/>
      <c r="L1" s="3"/>
      <c r="O1" s="3"/>
      <c r="S1" s="3"/>
      <c r="T1" s="3"/>
    </row>
    <row r="2" spans="2:20" ht="12.75">
      <c r="B2" s="20" t="s">
        <v>140</v>
      </c>
      <c r="G2" s="1"/>
      <c r="H2" s="1"/>
      <c r="I2" s="1"/>
      <c r="J2" s="1"/>
      <c r="K2" s="1"/>
      <c r="L2" s="1"/>
      <c r="O2" s="1"/>
      <c r="S2" s="1"/>
      <c r="T2" s="1"/>
    </row>
    <row r="3" ht="12.75">
      <c r="B3" s="20" t="s">
        <v>127</v>
      </c>
    </row>
    <row r="4" ht="12.75">
      <c r="B4" s="16"/>
    </row>
    <row r="5" ht="12.75">
      <c r="B5" s="9"/>
    </row>
    <row r="6" spans="7:12" ht="12.75">
      <c r="G6" s="8" t="s">
        <v>141</v>
      </c>
      <c r="H6" s="8"/>
      <c r="I6" s="8"/>
      <c r="J6" s="8"/>
      <c r="K6" s="8"/>
      <c r="L6" s="8"/>
    </row>
    <row r="8" spans="2:19" ht="12.7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60</v>
      </c>
      <c r="O8" s="4" t="s">
        <v>61</v>
      </c>
      <c r="Q8" s="4" t="s">
        <v>62</v>
      </c>
      <c r="R8" s="4" t="s">
        <v>63</v>
      </c>
      <c r="S8" s="4" t="s">
        <v>64</v>
      </c>
    </row>
    <row r="10" spans="3:19" ht="12.7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66</v>
      </c>
      <c r="J10" s="10"/>
      <c r="K10" s="10"/>
      <c r="L10" s="12"/>
      <c r="M10" s="13" t="s">
        <v>129</v>
      </c>
      <c r="N10" s="10"/>
      <c r="O10" s="10"/>
      <c r="Q10" s="13" t="s">
        <v>123</v>
      </c>
      <c r="R10" s="10"/>
      <c r="S10" s="10"/>
    </row>
    <row r="11" spans="3:19" ht="12.7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3:12" ht="12.7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2:19" ht="12.75">
      <c r="B13" s="4" t="s">
        <v>18</v>
      </c>
      <c r="C13" s="4" t="s">
        <v>128</v>
      </c>
      <c r="D13" s="4" t="s">
        <v>122</v>
      </c>
      <c r="E13" s="4" t="s">
        <v>128</v>
      </c>
      <c r="F13" s="4" t="s">
        <v>122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5" spans="1:25" ht="12.75">
      <c r="A15" s="36"/>
      <c r="B15" s="6" t="s">
        <v>142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>
      <c r="A16" s="3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37">
        <v>1</v>
      </c>
      <c r="B17" s="3" t="s">
        <v>143</v>
      </c>
      <c r="C17" s="5">
        <f aca="true" t="shared" si="0" ref="C17:C48">SUM(M17:O17)</f>
        <v>72066659.37</v>
      </c>
      <c r="D17" s="5">
        <f aca="true" t="shared" si="1" ref="D17:D48">SUM(Q17:S17)</f>
        <v>0</v>
      </c>
      <c r="E17" s="5"/>
      <c r="F17" s="5"/>
      <c r="G17" s="5">
        <f aca="true" t="shared" si="2" ref="G17:G48">ROUND(SUM(C17:F17)/2,0)</f>
        <v>36033330</v>
      </c>
      <c r="H17" s="5"/>
      <c r="I17" s="5">
        <f aca="true" t="shared" si="3" ref="I17:I48">(+M17+Q17)/2</f>
        <v>30026116.945</v>
      </c>
      <c r="J17" s="5">
        <f aca="true" t="shared" si="4" ref="J17:J48">(+N17+R17)/2</f>
        <v>414049.625</v>
      </c>
      <c r="K17" s="5">
        <f aca="true" t="shared" si="5" ref="K17:K48">(+O17+S17)/2</f>
        <v>5593163.115</v>
      </c>
      <c r="L17" s="5"/>
      <c r="M17" s="5">
        <f>19534233.89+40518000</f>
        <v>60052233.89</v>
      </c>
      <c r="N17" s="5">
        <v>828099.25</v>
      </c>
      <c r="O17" s="5">
        <f>1196326.23+9990000</f>
        <v>11186326.23</v>
      </c>
      <c r="P17" s="5"/>
      <c r="Q17" s="5">
        <v>0</v>
      </c>
      <c r="R17" s="5">
        <v>0</v>
      </c>
      <c r="S17" s="5">
        <v>0</v>
      </c>
      <c r="T17" s="5"/>
      <c r="U17" s="5"/>
      <c r="V17" s="5"/>
      <c r="W17" s="5"/>
      <c r="X17" s="5"/>
      <c r="Y17" s="5"/>
    </row>
    <row r="18" spans="1:25" ht="12.75">
      <c r="A18" s="37">
        <f aca="true" t="shared" si="6" ref="A18:A49">A17+1</f>
        <v>2</v>
      </c>
      <c r="B18" s="3" t="s">
        <v>87</v>
      </c>
      <c r="C18" s="5">
        <f t="shared" si="0"/>
        <v>20489.4</v>
      </c>
      <c r="D18" s="5">
        <f t="shared" si="1"/>
        <v>20489.4</v>
      </c>
      <c r="E18" s="5"/>
      <c r="F18" s="5"/>
      <c r="G18" s="5">
        <f t="shared" si="2"/>
        <v>20489</v>
      </c>
      <c r="H18" s="5"/>
      <c r="I18" s="5">
        <f t="shared" si="3"/>
        <v>0</v>
      </c>
      <c r="J18" s="5">
        <f t="shared" si="4"/>
        <v>20489.4</v>
      </c>
      <c r="K18" s="5">
        <f t="shared" si="5"/>
        <v>0</v>
      </c>
      <c r="L18" s="5"/>
      <c r="M18" s="5">
        <v>0</v>
      </c>
      <c r="N18" s="5">
        <v>20489.4</v>
      </c>
      <c r="O18" s="5">
        <v>0</v>
      </c>
      <c r="P18" s="5"/>
      <c r="Q18" s="5">
        <v>0</v>
      </c>
      <c r="R18" s="5">
        <v>20489.4</v>
      </c>
      <c r="S18" s="5">
        <v>0</v>
      </c>
      <c r="T18" s="5"/>
      <c r="U18" s="5"/>
      <c r="V18" s="5"/>
      <c r="W18" s="5"/>
      <c r="X18" s="5"/>
      <c r="Y18" s="5"/>
    </row>
    <row r="19" spans="1:25" ht="12.75">
      <c r="A19" s="37">
        <f t="shared" si="6"/>
        <v>3</v>
      </c>
      <c r="B19" s="5" t="s">
        <v>144</v>
      </c>
      <c r="C19" s="5">
        <f t="shared" si="0"/>
        <v>74803165.61</v>
      </c>
      <c r="D19" s="5">
        <f t="shared" si="1"/>
        <v>71671774.85</v>
      </c>
      <c r="E19" s="5"/>
      <c r="F19" s="5"/>
      <c r="G19" s="5">
        <f t="shared" si="2"/>
        <v>73237470</v>
      </c>
      <c r="H19" s="5"/>
      <c r="I19" s="5">
        <f t="shared" si="3"/>
        <v>56237456.565</v>
      </c>
      <c r="J19" s="5">
        <f t="shared" si="4"/>
        <v>12121759.59</v>
      </c>
      <c r="K19" s="5">
        <f t="shared" si="5"/>
        <v>4878254.075</v>
      </c>
      <c r="L19" s="5"/>
      <c r="M19" s="5">
        <f>65697531.06-8216425</f>
        <v>57481106.06</v>
      </c>
      <c r="N19" s="5">
        <f>16800128.25-4368231</f>
        <v>12431897.25</v>
      </c>
      <c r="O19" s="5">
        <f>8809132.3-3918970</f>
        <v>4890162.300000001</v>
      </c>
      <c r="P19" s="5"/>
      <c r="Q19" s="5">
        <f>61063224.07-6069417</f>
        <v>54993807.07</v>
      </c>
      <c r="R19" s="5">
        <f>15638449.93-3826828</f>
        <v>11811621.93</v>
      </c>
      <c r="S19" s="5">
        <f>8497301.85-3630956</f>
        <v>4866345.85</v>
      </c>
      <c r="T19" s="5"/>
      <c r="U19" s="5"/>
      <c r="V19" s="5"/>
      <c r="W19" s="5"/>
      <c r="X19" s="5"/>
      <c r="Y19" s="5"/>
    </row>
    <row r="20" spans="1:25" ht="12.75">
      <c r="A20" s="37">
        <f t="shared" si="6"/>
        <v>4</v>
      </c>
      <c r="B20" s="6" t="s">
        <v>145</v>
      </c>
      <c r="C20" s="5">
        <f t="shared" si="0"/>
        <v>-670845</v>
      </c>
      <c r="D20" s="5">
        <f t="shared" si="1"/>
        <v>0</v>
      </c>
      <c r="E20" s="5"/>
      <c r="F20" s="5"/>
      <c r="G20" s="5">
        <f t="shared" si="2"/>
        <v>-335423</v>
      </c>
      <c r="H20" s="5"/>
      <c r="I20" s="5">
        <f t="shared" si="3"/>
        <v>0</v>
      </c>
      <c r="J20" s="5">
        <f t="shared" si="4"/>
        <v>0</v>
      </c>
      <c r="K20" s="5">
        <f t="shared" si="5"/>
        <v>-335422.5</v>
      </c>
      <c r="L20" s="5"/>
      <c r="M20" s="5">
        <v>0</v>
      </c>
      <c r="N20" s="5">
        <v>0</v>
      </c>
      <c r="O20" s="5">
        <v>-670845</v>
      </c>
      <c r="P20" s="5"/>
      <c r="Q20" s="5">
        <v>0</v>
      </c>
      <c r="R20" s="5">
        <v>0</v>
      </c>
      <c r="S20" s="5">
        <v>0</v>
      </c>
      <c r="T20" s="5"/>
      <c r="U20" s="5"/>
      <c r="V20" s="5"/>
      <c r="W20" s="5"/>
      <c r="X20" s="5"/>
      <c r="Y20" s="5"/>
    </row>
    <row r="21" spans="1:25" ht="12.75">
      <c r="A21" s="37">
        <f t="shared" si="6"/>
        <v>5</v>
      </c>
      <c r="B21" s="6" t="s">
        <v>146</v>
      </c>
      <c r="C21" s="5">
        <f t="shared" si="0"/>
        <v>7340573.350000001</v>
      </c>
      <c r="D21" s="5">
        <f t="shared" si="1"/>
        <v>8039082</v>
      </c>
      <c r="E21" s="5"/>
      <c r="F21" s="5"/>
      <c r="G21" s="5">
        <f t="shared" si="2"/>
        <v>7689828</v>
      </c>
      <c r="H21" s="5"/>
      <c r="I21" s="5">
        <f t="shared" si="3"/>
        <v>0</v>
      </c>
      <c r="J21" s="5">
        <f t="shared" si="4"/>
        <v>150534.80000000002</v>
      </c>
      <c r="K21" s="5">
        <f t="shared" si="5"/>
        <v>7539292.875</v>
      </c>
      <c r="L21" s="5"/>
      <c r="M21" s="5">
        <v>0</v>
      </c>
      <c r="N21" s="5">
        <v>259494.7</v>
      </c>
      <c r="O21" s="5">
        <v>7081078.65</v>
      </c>
      <c r="P21" s="5"/>
      <c r="Q21" s="5">
        <v>0</v>
      </c>
      <c r="R21" s="5">
        <v>41574.9</v>
      </c>
      <c r="S21" s="5">
        <v>7997507.1</v>
      </c>
      <c r="T21" s="5"/>
      <c r="U21" s="5"/>
      <c r="V21" s="5"/>
      <c r="W21" s="5"/>
      <c r="X21" s="5"/>
      <c r="Y21" s="5"/>
    </row>
    <row r="22" spans="1:25" ht="12.75">
      <c r="A22" s="37">
        <f t="shared" si="6"/>
        <v>6</v>
      </c>
      <c r="B22" s="6" t="s">
        <v>147</v>
      </c>
      <c r="C22" s="5">
        <f t="shared" si="0"/>
        <v>781204.37</v>
      </c>
      <c r="D22" s="5">
        <f t="shared" si="1"/>
        <v>1453822.82</v>
      </c>
      <c r="E22" s="5"/>
      <c r="F22" s="5"/>
      <c r="G22" s="5">
        <f t="shared" si="2"/>
        <v>1117514</v>
      </c>
      <c r="H22" s="5"/>
      <c r="I22" s="5">
        <f t="shared" si="3"/>
        <v>0</v>
      </c>
      <c r="J22" s="5">
        <f t="shared" si="4"/>
        <v>1117513.595</v>
      </c>
      <c r="K22" s="5">
        <f t="shared" si="5"/>
        <v>0</v>
      </c>
      <c r="L22" s="5"/>
      <c r="M22" s="5">
        <v>0</v>
      </c>
      <c r="N22" s="5">
        <v>781204.37</v>
      </c>
      <c r="O22" s="5">
        <v>0</v>
      </c>
      <c r="P22" s="5"/>
      <c r="Q22" s="5">
        <v>0</v>
      </c>
      <c r="R22" s="5">
        <v>1453822.82</v>
      </c>
      <c r="S22" s="5">
        <v>0</v>
      </c>
      <c r="T22" s="5"/>
      <c r="U22" s="5"/>
      <c r="V22" s="5"/>
      <c r="W22" s="5"/>
      <c r="X22" s="5"/>
      <c r="Y22" s="5"/>
    </row>
    <row r="23" spans="1:25" ht="12.75">
      <c r="A23" s="37">
        <f t="shared" si="6"/>
        <v>7</v>
      </c>
      <c r="B23" s="6" t="s">
        <v>148</v>
      </c>
      <c r="C23" s="5">
        <f t="shared" si="0"/>
        <v>2893021.88</v>
      </c>
      <c r="D23" s="5">
        <f t="shared" si="1"/>
        <v>3278880.08</v>
      </c>
      <c r="E23" s="5"/>
      <c r="F23" s="5"/>
      <c r="G23" s="5">
        <f t="shared" si="2"/>
        <v>3085951</v>
      </c>
      <c r="H23" s="5"/>
      <c r="I23" s="5">
        <f t="shared" si="3"/>
        <v>0</v>
      </c>
      <c r="J23" s="5">
        <f t="shared" si="4"/>
        <v>21449.425</v>
      </c>
      <c r="K23" s="5">
        <f t="shared" si="5"/>
        <v>3064501.5549999997</v>
      </c>
      <c r="L23" s="5"/>
      <c r="M23" s="5">
        <v>0</v>
      </c>
      <c r="N23" s="5">
        <v>31559</v>
      </c>
      <c r="O23" s="5">
        <v>2861462.88</v>
      </c>
      <c r="P23" s="5"/>
      <c r="Q23" s="5">
        <v>0</v>
      </c>
      <c r="R23" s="5">
        <v>11339.85</v>
      </c>
      <c r="S23" s="5">
        <v>3267540.23</v>
      </c>
      <c r="T23" s="5"/>
      <c r="U23" s="5"/>
      <c r="V23" s="5"/>
      <c r="W23" s="5"/>
      <c r="X23" s="5"/>
      <c r="Y23" s="5"/>
    </row>
    <row r="24" spans="1:25" ht="12.75">
      <c r="A24" s="37">
        <f t="shared" si="6"/>
        <v>8</v>
      </c>
      <c r="B24" s="6" t="s">
        <v>149</v>
      </c>
      <c r="C24" s="5">
        <f t="shared" si="0"/>
        <v>13387.15</v>
      </c>
      <c r="D24" s="5">
        <f t="shared" si="1"/>
        <v>-21168</v>
      </c>
      <c r="E24" s="5"/>
      <c r="F24" s="5"/>
      <c r="G24" s="5">
        <f t="shared" si="2"/>
        <v>-3890</v>
      </c>
      <c r="H24" s="5"/>
      <c r="I24" s="5">
        <f t="shared" si="3"/>
        <v>0</v>
      </c>
      <c r="J24" s="5">
        <f t="shared" si="4"/>
        <v>0</v>
      </c>
      <c r="K24" s="5">
        <f t="shared" si="5"/>
        <v>-3890.425</v>
      </c>
      <c r="L24" s="5"/>
      <c r="M24" s="5">
        <v>0</v>
      </c>
      <c r="N24" s="5">
        <v>0</v>
      </c>
      <c r="O24" s="5">
        <v>13387.15</v>
      </c>
      <c r="P24" s="5"/>
      <c r="Q24" s="5">
        <v>0</v>
      </c>
      <c r="R24" s="5">
        <v>0</v>
      </c>
      <c r="S24" s="5">
        <v>-21168</v>
      </c>
      <c r="T24" s="5"/>
      <c r="U24" s="5"/>
      <c r="V24" s="5"/>
      <c r="W24" s="5"/>
      <c r="X24" s="5"/>
      <c r="Y24" s="5"/>
    </row>
    <row r="25" spans="1:25" ht="12.75">
      <c r="A25" s="37">
        <f t="shared" si="6"/>
        <v>9</v>
      </c>
      <c r="B25" s="6" t="s">
        <v>150</v>
      </c>
      <c r="C25" s="5">
        <f t="shared" si="0"/>
        <v>0.1</v>
      </c>
      <c r="D25" s="5">
        <f t="shared" si="1"/>
        <v>0.1</v>
      </c>
      <c r="E25" s="5"/>
      <c r="F25" s="5"/>
      <c r="G25" s="5">
        <f t="shared" si="2"/>
        <v>0</v>
      </c>
      <c r="H25" s="5"/>
      <c r="I25" s="5">
        <f t="shared" si="3"/>
        <v>0.1</v>
      </c>
      <c r="J25" s="5">
        <f t="shared" si="4"/>
        <v>0</v>
      </c>
      <c r="K25" s="5">
        <f t="shared" si="5"/>
        <v>0</v>
      </c>
      <c r="L25" s="5"/>
      <c r="M25" s="5">
        <v>0.1</v>
      </c>
      <c r="N25" s="5">
        <v>0</v>
      </c>
      <c r="O25" s="5">
        <v>0</v>
      </c>
      <c r="P25" s="5"/>
      <c r="Q25" s="5">
        <v>0.1</v>
      </c>
      <c r="R25" s="5">
        <v>0</v>
      </c>
      <c r="S25" s="5">
        <v>0</v>
      </c>
      <c r="T25" s="5"/>
      <c r="U25" s="5"/>
      <c r="V25" s="5"/>
      <c r="W25" s="5"/>
      <c r="X25" s="5"/>
      <c r="Y25" s="5"/>
    </row>
    <row r="26" spans="1:25" ht="12.75">
      <c r="A26" s="37">
        <f t="shared" si="6"/>
        <v>10</v>
      </c>
      <c r="B26" s="6" t="s">
        <v>151</v>
      </c>
      <c r="C26" s="5">
        <f t="shared" si="0"/>
        <v>0</v>
      </c>
      <c r="D26" s="5">
        <f t="shared" si="1"/>
        <v>0</v>
      </c>
      <c r="E26" s="5"/>
      <c r="F26" s="5"/>
      <c r="G26" s="5">
        <f t="shared" si="2"/>
        <v>0</v>
      </c>
      <c r="H26" s="5"/>
      <c r="I26" s="5">
        <f t="shared" si="3"/>
        <v>0</v>
      </c>
      <c r="J26" s="5">
        <f t="shared" si="4"/>
        <v>0</v>
      </c>
      <c r="K26" s="5">
        <f t="shared" si="5"/>
        <v>0</v>
      </c>
      <c r="L26" s="5"/>
      <c r="M26" s="5">
        <v>0</v>
      </c>
      <c r="N26" s="5">
        <v>0</v>
      </c>
      <c r="O26" s="5">
        <v>0</v>
      </c>
      <c r="P26" s="5"/>
      <c r="Q26" s="5">
        <v>0</v>
      </c>
      <c r="R26" s="5">
        <v>0</v>
      </c>
      <c r="S26" s="5">
        <v>0</v>
      </c>
      <c r="T26" s="5"/>
      <c r="U26" s="5"/>
      <c r="V26" s="5"/>
      <c r="W26" s="5"/>
      <c r="X26" s="5"/>
      <c r="Y26" s="5"/>
    </row>
    <row r="27" spans="1:25" ht="12.75">
      <c r="A27" s="37">
        <f t="shared" si="6"/>
        <v>11</v>
      </c>
      <c r="B27" s="6" t="s">
        <v>152</v>
      </c>
      <c r="C27" s="5">
        <f t="shared" si="0"/>
        <v>2605918.94</v>
      </c>
      <c r="D27" s="5">
        <f t="shared" si="1"/>
        <v>2060541.64</v>
      </c>
      <c r="E27" s="5"/>
      <c r="F27" s="5"/>
      <c r="G27" s="5">
        <f t="shared" si="2"/>
        <v>2333230</v>
      </c>
      <c r="H27" s="5"/>
      <c r="I27" s="5">
        <f t="shared" si="3"/>
        <v>-431775.06</v>
      </c>
      <c r="J27" s="5">
        <f t="shared" si="4"/>
        <v>2765005.36</v>
      </c>
      <c r="K27" s="5">
        <f t="shared" si="5"/>
        <v>-0.01</v>
      </c>
      <c r="L27" s="5"/>
      <c r="M27" s="5">
        <v>8201.34</v>
      </c>
      <c r="N27" s="5">
        <v>2597717.61</v>
      </c>
      <c r="O27" s="5">
        <v>-0.01</v>
      </c>
      <c r="P27" s="5"/>
      <c r="Q27" s="5">
        <v>-871751.46</v>
      </c>
      <c r="R27" s="5">
        <v>2932293.11</v>
      </c>
      <c r="S27" s="5">
        <v>-0.01</v>
      </c>
      <c r="T27" s="5"/>
      <c r="U27" s="5"/>
      <c r="V27" s="5"/>
      <c r="W27" s="5"/>
      <c r="X27" s="5"/>
      <c r="Y27" s="5"/>
    </row>
    <row r="28" spans="1:25" ht="12.75">
      <c r="A28" s="37">
        <f t="shared" si="6"/>
        <v>12</v>
      </c>
      <c r="B28" s="6" t="s">
        <v>153</v>
      </c>
      <c r="C28" s="5">
        <f t="shared" si="0"/>
        <v>640.6</v>
      </c>
      <c r="D28" s="5">
        <f t="shared" si="1"/>
        <v>640.6</v>
      </c>
      <c r="E28" s="5"/>
      <c r="F28" s="5"/>
      <c r="G28" s="5">
        <f t="shared" si="2"/>
        <v>641</v>
      </c>
      <c r="H28" s="5"/>
      <c r="I28" s="5">
        <f t="shared" si="3"/>
        <v>0</v>
      </c>
      <c r="J28" s="5">
        <f t="shared" si="4"/>
        <v>0</v>
      </c>
      <c r="K28" s="5">
        <f t="shared" si="5"/>
        <v>640.6</v>
      </c>
      <c r="L28" s="5"/>
      <c r="M28" s="5">
        <v>0</v>
      </c>
      <c r="N28" s="5">
        <v>0</v>
      </c>
      <c r="O28" s="5">
        <v>640.6</v>
      </c>
      <c r="P28" s="5"/>
      <c r="Q28" s="5">
        <v>0</v>
      </c>
      <c r="R28" s="5">
        <v>0</v>
      </c>
      <c r="S28" s="5">
        <v>640.6</v>
      </c>
      <c r="T28" s="5"/>
      <c r="U28" s="5"/>
      <c r="V28" s="5"/>
      <c r="W28" s="5"/>
      <c r="X28" s="5"/>
      <c r="Y28" s="5"/>
    </row>
    <row r="29" spans="1:25" ht="12.75">
      <c r="A29" s="37">
        <f t="shared" si="6"/>
        <v>13</v>
      </c>
      <c r="B29" s="6" t="s">
        <v>154</v>
      </c>
      <c r="C29" s="5">
        <f t="shared" si="0"/>
        <v>0</v>
      </c>
      <c r="D29" s="5">
        <f t="shared" si="1"/>
        <v>0</v>
      </c>
      <c r="E29" s="5"/>
      <c r="F29" s="5"/>
      <c r="G29" s="5">
        <f t="shared" si="2"/>
        <v>0</v>
      </c>
      <c r="H29" s="5"/>
      <c r="I29" s="5">
        <f t="shared" si="3"/>
        <v>0</v>
      </c>
      <c r="J29" s="5">
        <f t="shared" si="4"/>
        <v>0</v>
      </c>
      <c r="K29" s="5">
        <f t="shared" si="5"/>
        <v>0</v>
      </c>
      <c r="L29" s="5"/>
      <c r="M29" s="5">
        <v>0</v>
      </c>
      <c r="N29" s="5">
        <v>0</v>
      </c>
      <c r="O29" s="5">
        <v>0</v>
      </c>
      <c r="P29" s="5"/>
      <c r="Q29" s="5">
        <v>0</v>
      </c>
      <c r="R29" s="5">
        <v>0</v>
      </c>
      <c r="S29" s="5">
        <v>0</v>
      </c>
      <c r="T29" s="5"/>
      <c r="U29" s="5"/>
      <c r="V29" s="5"/>
      <c r="W29" s="5"/>
      <c r="X29" s="5"/>
      <c r="Y29" s="5"/>
    </row>
    <row r="30" spans="1:25" ht="12.75">
      <c r="A30" s="37">
        <f t="shared" si="6"/>
        <v>14</v>
      </c>
      <c r="B30" s="6" t="s">
        <v>155</v>
      </c>
      <c r="C30" s="5">
        <f t="shared" si="0"/>
        <v>309742.65</v>
      </c>
      <c r="D30" s="5">
        <f t="shared" si="1"/>
        <v>-12160874.14</v>
      </c>
      <c r="E30" s="5"/>
      <c r="F30" s="5"/>
      <c r="G30" s="5">
        <f t="shared" si="2"/>
        <v>-5925566</v>
      </c>
      <c r="H30" s="5"/>
      <c r="I30" s="5">
        <f t="shared" si="3"/>
        <v>-5925565.745</v>
      </c>
      <c r="J30" s="5">
        <f t="shared" si="4"/>
        <v>0</v>
      </c>
      <c r="K30" s="5">
        <f t="shared" si="5"/>
        <v>0</v>
      </c>
      <c r="L30" s="5"/>
      <c r="M30" s="5">
        <v>309742.65</v>
      </c>
      <c r="N30" s="5">
        <v>0</v>
      </c>
      <c r="O30" s="5">
        <v>0</v>
      </c>
      <c r="P30" s="5"/>
      <c r="Q30" s="5">
        <v>-12160874.14</v>
      </c>
      <c r="R30" s="5">
        <v>0</v>
      </c>
      <c r="S30" s="5">
        <v>0</v>
      </c>
      <c r="T30" s="5"/>
      <c r="U30" s="5"/>
      <c r="V30" s="5"/>
      <c r="W30" s="5"/>
      <c r="X30" s="5"/>
      <c r="Y30" s="5"/>
    </row>
    <row r="31" spans="1:25" ht="12.75">
      <c r="A31" s="37">
        <f t="shared" si="6"/>
        <v>15</v>
      </c>
      <c r="B31" s="6" t="s">
        <v>156</v>
      </c>
      <c r="C31" s="5">
        <f t="shared" si="0"/>
        <v>140106.52</v>
      </c>
      <c r="D31" s="5">
        <f t="shared" si="1"/>
        <v>142883.72</v>
      </c>
      <c r="E31" s="5"/>
      <c r="F31" s="5"/>
      <c r="G31" s="5">
        <f t="shared" si="2"/>
        <v>141495</v>
      </c>
      <c r="H31" s="5"/>
      <c r="I31" s="5">
        <f t="shared" si="3"/>
        <v>86306.035</v>
      </c>
      <c r="J31" s="5">
        <f t="shared" si="4"/>
        <v>7118.4</v>
      </c>
      <c r="K31" s="5">
        <f t="shared" si="5"/>
        <v>48070.685</v>
      </c>
      <c r="L31" s="5"/>
      <c r="M31" s="5">
        <v>84091.98</v>
      </c>
      <c r="N31" s="5">
        <v>6271.4</v>
      </c>
      <c r="O31" s="5">
        <v>49743.14</v>
      </c>
      <c r="P31" s="5"/>
      <c r="Q31" s="5">
        <v>88520.09</v>
      </c>
      <c r="R31" s="5">
        <v>7965.4</v>
      </c>
      <c r="S31" s="5">
        <v>46398.23</v>
      </c>
      <c r="T31" s="5"/>
      <c r="U31" s="5"/>
      <c r="V31" s="5"/>
      <c r="W31" s="5"/>
      <c r="X31" s="5"/>
      <c r="Y31" s="5"/>
    </row>
    <row r="32" spans="1:25" ht="12.75">
      <c r="A32" s="37">
        <f t="shared" si="6"/>
        <v>16</v>
      </c>
      <c r="B32" s="6" t="s">
        <v>157</v>
      </c>
      <c r="C32" s="5">
        <f t="shared" si="0"/>
        <v>-94709.09999999999</v>
      </c>
      <c r="D32" s="5">
        <f t="shared" si="1"/>
        <v>-88737.62999999999</v>
      </c>
      <c r="E32" s="5"/>
      <c r="F32" s="5"/>
      <c r="G32" s="5">
        <f t="shared" si="2"/>
        <v>-91723</v>
      </c>
      <c r="H32" s="5"/>
      <c r="I32" s="5">
        <f t="shared" si="3"/>
        <v>139.38</v>
      </c>
      <c r="J32" s="5">
        <f t="shared" si="4"/>
        <v>0</v>
      </c>
      <c r="K32" s="5">
        <f t="shared" si="5"/>
        <v>-91862.745</v>
      </c>
      <c r="L32" s="5"/>
      <c r="M32" s="5">
        <v>139.38</v>
      </c>
      <c r="N32" s="5">
        <v>0</v>
      </c>
      <c r="O32" s="5">
        <v>-94848.48</v>
      </c>
      <c r="P32" s="5"/>
      <c r="Q32" s="5">
        <v>139.38</v>
      </c>
      <c r="R32" s="5">
        <v>0</v>
      </c>
      <c r="S32" s="5">
        <v>-88877.01</v>
      </c>
      <c r="T32" s="5"/>
      <c r="U32" s="5"/>
      <c r="V32" s="5"/>
      <c r="W32" s="5"/>
      <c r="X32" s="5"/>
      <c r="Y32" s="5"/>
    </row>
    <row r="33" spans="1:25" ht="12.75">
      <c r="A33" s="37">
        <f t="shared" si="6"/>
        <v>17</v>
      </c>
      <c r="B33" s="6" t="s">
        <v>158</v>
      </c>
      <c r="C33" s="5">
        <f t="shared" si="0"/>
        <v>75232.5</v>
      </c>
      <c r="D33" s="5">
        <f t="shared" si="1"/>
        <v>64613.85</v>
      </c>
      <c r="E33" s="5"/>
      <c r="F33" s="5"/>
      <c r="G33" s="5">
        <f t="shared" si="2"/>
        <v>69923</v>
      </c>
      <c r="H33" s="5"/>
      <c r="I33" s="5">
        <f t="shared" si="3"/>
        <v>-55.474999999999994</v>
      </c>
      <c r="J33" s="5">
        <f t="shared" si="4"/>
        <v>0</v>
      </c>
      <c r="K33" s="5">
        <f t="shared" si="5"/>
        <v>69978.65</v>
      </c>
      <c r="L33" s="5"/>
      <c r="M33" s="5">
        <v>-130.2</v>
      </c>
      <c r="N33" s="5">
        <v>0</v>
      </c>
      <c r="O33" s="5">
        <v>75362.7</v>
      </c>
      <c r="P33" s="5"/>
      <c r="Q33" s="5">
        <v>19.25</v>
      </c>
      <c r="R33" s="5">
        <v>0</v>
      </c>
      <c r="S33" s="5">
        <v>64594.6</v>
      </c>
      <c r="T33" s="5"/>
      <c r="U33" s="5"/>
      <c r="V33" s="5"/>
      <c r="W33" s="5"/>
      <c r="X33" s="5"/>
      <c r="Y33" s="5"/>
    </row>
    <row r="34" spans="1:25" ht="12.75">
      <c r="A34" s="37">
        <f t="shared" si="6"/>
        <v>18</v>
      </c>
      <c r="B34" s="6" t="s">
        <v>159</v>
      </c>
      <c r="C34" s="5">
        <f t="shared" si="0"/>
        <v>158659.86</v>
      </c>
      <c r="D34" s="5">
        <f t="shared" si="1"/>
        <v>162117.09</v>
      </c>
      <c r="E34" s="5"/>
      <c r="F34" s="5"/>
      <c r="G34" s="5">
        <f t="shared" si="2"/>
        <v>160388</v>
      </c>
      <c r="H34" s="5"/>
      <c r="I34" s="5">
        <f t="shared" si="3"/>
        <v>160388.95500000002</v>
      </c>
      <c r="J34" s="5">
        <f t="shared" si="4"/>
        <v>-0.35</v>
      </c>
      <c r="K34" s="5">
        <f t="shared" si="5"/>
        <v>-0.13</v>
      </c>
      <c r="L34" s="5"/>
      <c r="M34" s="5">
        <v>158660.34</v>
      </c>
      <c r="N34" s="5">
        <v>-0.35</v>
      </c>
      <c r="O34" s="5">
        <v>-0.13</v>
      </c>
      <c r="P34" s="5"/>
      <c r="Q34" s="5">
        <v>162117.57</v>
      </c>
      <c r="R34" s="5">
        <v>-0.35</v>
      </c>
      <c r="S34" s="5">
        <v>-0.13</v>
      </c>
      <c r="T34" s="5"/>
      <c r="U34" s="5"/>
      <c r="V34" s="5"/>
      <c r="W34" s="5"/>
      <c r="X34" s="5"/>
      <c r="Y34" s="5"/>
    </row>
    <row r="35" spans="1:25" ht="12.75">
      <c r="A35" s="37">
        <f t="shared" si="6"/>
        <v>19</v>
      </c>
      <c r="B35" s="6" t="s">
        <v>160</v>
      </c>
      <c r="C35" s="5">
        <f t="shared" si="0"/>
        <v>-0.02</v>
      </c>
      <c r="D35" s="5">
        <f t="shared" si="1"/>
        <v>-0.02</v>
      </c>
      <c r="E35" s="5"/>
      <c r="F35" s="5"/>
      <c r="G35" s="5">
        <f t="shared" si="2"/>
        <v>0</v>
      </c>
      <c r="H35" s="5"/>
      <c r="I35" s="5">
        <f t="shared" si="3"/>
        <v>0</v>
      </c>
      <c r="J35" s="5">
        <f t="shared" si="4"/>
        <v>0</v>
      </c>
      <c r="K35" s="5">
        <f t="shared" si="5"/>
        <v>-0.02</v>
      </c>
      <c r="L35" s="5"/>
      <c r="M35" s="5">
        <v>0</v>
      </c>
      <c r="N35" s="5">
        <v>0</v>
      </c>
      <c r="O35" s="5">
        <v>-0.02</v>
      </c>
      <c r="P35" s="5"/>
      <c r="Q35" s="5">
        <v>0</v>
      </c>
      <c r="R35" s="5">
        <v>0</v>
      </c>
      <c r="S35" s="5">
        <v>-0.02</v>
      </c>
      <c r="T35" s="5"/>
      <c r="U35" s="5"/>
      <c r="V35" s="5"/>
      <c r="W35" s="5"/>
      <c r="X35" s="5"/>
      <c r="Y35" s="5"/>
    </row>
    <row r="36" spans="1:25" ht="12.75">
      <c r="A36" s="37">
        <f t="shared" si="6"/>
        <v>20</v>
      </c>
      <c r="B36" s="6" t="s">
        <v>161</v>
      </c>
      <c r="C36" s="5">
        <f t="shared" si="0"/>
        <v>161656.49</v>
      </c>
      <c r="D36" s="5">
        <f t="shared" si="1"/>
        <v>90063.70999999999</v>
      </c>
      <c r="E36" s="5"/>
      <c r="F36" s="5"/>
      <c r="G36" s="5">
        <f t="shared" si="2"/>
        <v>125860</v>
      </c>
      <c r="H36" s="5"/>
      <c r="I36" s="5">
        <f t="shared" si="3"/>
        <v>67445.755</v>
      </c>
      <c r="J36" s="5">
        <f t="shared" si="4"/>
        <v>0</v>
      </c>
      <c r="K36" s="5">
        <f t="shared" si="5"/>
        <v>58414.345</v>
      </c>
      <c r="L36" s="5"/>
      <c r="M36" s="5">
        <v>85581.81</v>
      </c>
      <c r="N36" s="5">
        <v>0</v>
      </c>
      <c r="O36" s="5">
        <v>76074.68</v>
      </c>
      <c r="P36" s="5"/>
      <c r="Q36" s="5">
        <v>49309.7</v>
      </c>
      <c r="R36" s="5">
        <v>0</v>
      </c>
      <c r="S36" s="5">
        <v>40754.01</v>
      </c>
      <c r="T36" s="5"/>
      <c r="U36" s="5"/>
      <c r="V36" s="5"/>
      <c r="W36" s="5"/>
      <c r="X36" s="5"/>
      <c r="Y36" s="5"/>
    </row>
    <row r="37" spans="1:25" ht="12.75">
      <c r="A37" s="37">
        <f t="shared" si="6"/>
        <v>21</v>
      </c>
      <c r="B37" s="6" t="s">
        <v>162</v>
      </c>
      <c r="C37" s="5">
        <f t="shared" si="0"/>
        <v>1508566.6</v>
      </c>
      <c r="D37" s="5">
        <f t="shared" si="1"/>
        <v>1991020.63</v>
      </c>
      <c r="E37" s="5"/>
      <c r="F37" s="5"/>
      <c r="G37" s="5">
        <f t="shared" si="2"/>
        <v>1749794</v>
      </c>
      <c r="H37" s="5"/>
      <c r="I37" s="5">
        <f t="shared" si="3"/>
        <v>-323157.695</v>
      </c>
      <c r="J37" s="5">
        <f t="shared" si="4"/>
        <v>916563.45</v>
      </c>
      <c r="K37" s="5">
        <f t="shared" si="5"/>
        <v>1156387.86</v>
      </c>
      <c r="L37" s="5"/>
      <c r="M37" s="5">
        <v>-369869.27</v>
      </c>
      <c r="N37" s="5">
        <v>916563.45</v>
      </c>
      <c r="O37" s="5">
        <v>961872.42</v>
      </c>
      <c r="P37" s="5"/>
      <c r="Q37" s="5">
        <v>-276446.12</v>
      </c>
      <c r="R37" s="5">
        <v>916563.45</v>
      </c>
      <c r="S37" s="5">
        <v>1350903.3</v>
      </c>
      <c r="T37" s="5"/>
      <c r="U37" s="5"/>
      <c r="V37" s="5"/>
      <c r="W37" s="5"/>
      <c r="X37" s="5"/>
      <c r="Y37" s="5"/>
    </row>
    <row r="38" spans="1:25" ht="12.75">
      <c r="A38" s="37">
        <f t="shared" si="6"/>
        <v>22</v>
      </c>
      <c r="B38" s="6" t="s">
        <v>163</v>
      </c>
      <c r="C38" s="5">
        <f t="shared" si="0"/>
        <v>618211.65</v>
      </c>
      <c r="D38" s="5">
        <f t="shared" si="1"/>
        <v>274254.04</v>
      </c>
      <c r="E38" s="5"/>
      <c r="F38" s="5"/>
      <c r="G38" s="5">
        <f t="shared" si="2"/>
        <v>446233</v>
      </c>
      <c r="H38" s="5"/>
      <c r="I38" s="5">
        <f t="shared" si="3"/>
        <v>446232.845</v>
      </c>
      <c r="J38" s="5">
        <f t="shared" si="4"/>
        <v>0</v>
      </c>
      <c r="K38" s="5">
        <f t="shared" si="5"/>
        <v>0</v>
      </c>
      <c r="L38" s="5"/>
      <c r="M38" s="5">
        <v>618211.65</v>
      </c>
      <c r="N38" s="5">
        <v>0</v>
      </c>
      <c r="O38" s="5">
        <v>0</v>
      </c>
      <c r="P38" s="5"/>
      <c r="Q38" s="5">
        <v>274254.04</v>
      </c>
      <c r="R38" s="5">
        <v>0</v>
      </c>
      <c r="S38" s="5">
        <v>0</v>
      </c>
      <c r="T38" s="5"/>
      <c r="U38" s="5"/>
      <c r="V38" s="5"/>
      <c r="W38" s="5"/>
      <c r="X38" s="5"/>
      <c r="Y38" s="5"/>
    </row>
    <row r="39" spans="1:25" ht="12.75">
      <c r="A39" s="37">
        <f t="shared" si="6"/>
        <v>23</v>
      </c>
      <c r="B39" s="6" t="s">
        <v>164</v>
      </c>
      <c r="C39" s="5">
        <f t="shared" si="0"/>
        <v>-87288.25</v>
      </c>
      <c r="D39" s="5">
        <f t="shared" si="1"/>
        <v>336711.28</v>
      </c>
      <c r="E39" s="5"/>
      <c r="F39" s="5"/>
      <c r="G39" s="5">
        <f t="shared" si="2"/>
        <v>124712</v>
      </c>
      <c r="H39" s="5"/>
      <c r="I39" s="5">
        <f t="shared" si="3"/>
        <v>124711.51500000001</v>
      </c>
      <c r="J39" s="5">
        <f t="shared" si="4"/>
        <v>0</v>
      </c>
      <c r="K39" s="5">
        <f t="shared" si="5"/>
        <v>0</v>
      </c>
      <c r="L39" s="5"/>
      <c r="M39" s="5">
        <v>-87288.25</v>
      </c>
      <c r="N39" s="5">
        <v>0</v>
      </c>
      <c r="O39" s="5">
        <v>0</v>
      </c>
      <c r="P39" s="5"/>
      <c r="Q39" s="5">
        <v>336711.28</v>
      </c>
      <c r="R39" s="5">
        <v>0</v>
      </c>
      <c r="S39" s="5">
        <v>0</v>
      </c>
      <c r="T39" s="5"/>
      <c r="U39" s="5"/>
      <c r="V39" s="5"/>
      <c r="W39" s="5"/>
      <c r="X39" s="5"/>
      <c r="Y39" s="5"/>
    </row>
    <row r="40" spans="1:25" ht="12.75">
      <c r="A40" s="37">
        <f t="shared" si="6"/>
        <v>24</v>
      </c>
      <c r="B40" s="6" t="s">
        <v>165</v>
      </c>
      <c r="C40" s="5">
        <f t="shared" si="0"/>
        <v>1811175.8199999998</v>
      </c>
      <c r="D40" s="5">
        <f t="shared" si="1"/>
        <v>2347593.31</v>
      </c>
      <c r="E40" s="5"/>
      <c r="F40" s="5"/>
      <c r="G40" s="5">
        <f t="shared" si="2"/>
        <v>2079385</v>
      </c>
      <c r="H40" s="5"/>
      <c r="I40" s="5">
        <f t="shared" si="3"/>
        <v>1422216.26</v>
      </c>
      <c r="J40" s="5">
        <f t="shared" si="4"/>
        <v>-71716.725</v>
      </c>
      <c r="K40" s="5">
        <f t="shared" si="5"/>
        <v>728885.03</v>
      </c>
      <c r="L40" s="5"/>
      <c r="M40" s="5">
        <v>1309275.96</v>
      </c>
      <c r="N40" s="5">
        <v>28811.69</v>
      </c>
      <c r="O40" s="5">
        <v>473088.17</v>
      </c>
      <c r="P40" s="5"/>
      <c r="Q40" s="5">
        <v>1535156.56</v>
      </c>
      <c r="R40" s="5">
        <v>-172245.14</v>
      </c>
      <c r="S40" s="5">
        <v>984681.89</v>
      </c>
      <c r="T40" s="5"/>
      <c r="U40" s="5"/>
      <c r="V40" s="5"/>
      <c r="W40" s="5"/>
      <c r="X40" s="5"/>
      <c r="Y40" s="5"/>
    </row>
    <row r="41" spans="1:25" ht="12.75">
      <c r="A41" s="37">
        <f t="shared" si="6"/>
        <v>25</v>
      </c>
      <c r="B41" s="6" t="s">
        <v>166</v>
      </c>
      <c r="C41" s="5">
        <f t="shared" si="0"/>
        <v>12950</v>
      </c>
      <c r="D41" s="5">
        <f t="shared" si="1"/>
        <v>0</v>
      </c>
      <c r="E41" s="5"/>
      <c r="F41" s="5"/>
      <c r="G41" s="5">
        <f t="shared" si="2"/>
        <v>6475</v>
      </c>
      <c r="H41" s="5"/>
      <c r="I41" s="5">
        <f t="shared" si="3"/>
        <v>0</v>
      </c>
      <c r="J41" s="5">
        <f t="shared" si="4"/>
        <v>0</v>
      </c>
      <c r="K41" s="5">
        <f t="shared" si="5"/>
        <v>6475</v>
      </c>
      <c r="L41" s="5"/>
      <c r="M41" s="5">
        <v>0</v>
      </c>
      <c r="N41" s="5">
        <v>0</v>
      </c>
      <c r="O41" s="5">
        <v>12950</v>
      </c>
      <c r="P41" s="5"/>
      <c r="Q41" s="5">
        <v>0</v>
      </c>
      <c r="R41" s="5">
        <v>0</v>
      </c>
      <c r="S41" s="5">
        <v>0</v>
      </c>
      <c r="T41" s="5"/>
      <c r="U41" s="5"/>
      <c r="V41" s="5"/>
      <c r="W41" s="5"/>
      <c r="X41" s="5"/>
      <c r="Y41" s="5"/>
    </row>
    <row r="42" spans="1:25" ht="12.75">
      <c r="A42" s="37">
        <f t="shared" si="6"/>
        <v>26</v>
      </c>
      <c r="B42" s="6" t="s">
        <v>167</v>
      </c>
      <c r="C42" s="5">
        <f t="shared" si="0"/>
        <v>3425579.97</v>
      </c>
      <c r="D42" s="5">
        <f t="shared" si="1"/>
        <v>3081304.2800000003</v>
      </c>
      <c r="E42" s="5"/>
      <c r="F42" s="5"/>
      <c r="G42" s="5">
        <f t="shared" si="2"/>
        <v>3253442</v>
      </c>
      <c r="H42" s="5"/>
      <c r="I42" s="5">
        <f t="shared" si="3"/>
        <v>1426159.85</v>
      </c>
      <c r="J42" s="5">
        <f t="shared" si="4"/>
        <v>235664.08</v>
      </c>
      <c r="K42" s="5">
        <f t="shared" si="5"/>
        <v>1591618.195</v>
      </c>
      <c r="L42" s="5"/>
      <c r="M42" s="5">
        <v>1504973.78</v>
      </c>
      <c r="N42" s="5">
        <v>247786.33</v>
      </c>
      <c r="O42" s="5">
        <v>1672819.86</v>
      </c>
      <c r="P42" s="5"/>
      <c r="Q42" s="5">
        <v>1347345.92</v>
      </c>
      <c r="R42" s="5">
        <v>223541.83</v>
      </c>
      <c r="S42" s="5">
        <v>1510416.53</v>
      </c>
      <c r="T42" s="5"/>
      <c r="U42" s="5"/>
      <c r="V42" s="5"/>
      <c r="W42" s="5"/>
      <c r="X42" s="5"/>
      <c r="Y42" s="5"/>
    </row>
    <row r="43" spans="1:25" ht="12.75">
      <c r="A43" s="37">
        <f t="shared" si="6"/>
        <v>27</v>
      </c>
      <c r="B43" s="6" t="s">
        <v>168</v>
      </c>
      <c r="C43" s="5">
        <f t="shared" si="0"/>
        <v>166885.44</v>
      </c>
      <c r="D43" s="5">
        <f t="shared" si="1"/>
        <v>127161.05</v>
      </c>
      <c r="E43" s="5"/>
      <c r="F43" s="5"/>
      <c r="G43" s="5">
        <f t="shared" si="2"/>
        <v>147023</v>
      </c>
      <c r="H43" s="5"/>
      <c r="I43" s="5">
        <f t="shared" si="3"/>
        <v>147023.245</v>
      </c>
      <c r="J43" s="5">
        <f t="shared" si="4"/>
        <v>0</v>
      </c>
      <c r="K43" s="5">
        <f t="shared" si="5"/>
        <v>0</v>
      </c>
      <c r="L43" s="5"/>
      <c r="M43" s="5">
        <v>166885.44</v>
      </c>
      <c r="N43" s="5">
        <v>0</v>
      </c>
      <c r="O43" s="5">
        <v>0</v>
      </c>
      <c r="P43" s="5"/>
      <c r="Q43" s="5">
        <v>127161.05</v>
      </c>
      <c r="R43" s="5">
        <v>0</v>
      </c>
      <c r="S43" s="5">
        <v>0</v>
      </c>
      <c r="T43" s="5"/>
      <c r="U43" s="5"/>
      <c r="V43" s="5"/>
      <c r="W43" s="5"/>
      <c r="X43" s="5"/>
      <c r="Y43" s="5"/>
    </row>
    <row r="44" spans="1:25" ht="12.75">
      <c r="A44" s="37">
        <f t="shared" si="6"/>
        <v>28</v>
      </c>
      <c r="B44" s="6" t="s">
        <v>169</v>
      </c>
      <c r="C44" s="5">
        <f t="shared" si="0"/>
        <v>32025.86</v>
      </c>
      <c r="D44" s="5">
        <f t="shared" si="1"/>
        <v>793348.1300000001</v>
      </c>
      <c r="E44" s="5"/>
      <c r="F44" s="5"/>
      <c r="G44" s="5">
        <f t="shared" si="2"/>
        <v>412687</v>
      </c>
      <c r="H44" s="5"/>
      <c r="I44" s="5">
        <f t="shared" si="3"/>
        <v>278967.775</v>
      </c>
      <c r="J44" s="5">
        <f t="shared" si="4"/>
        <v>4833.505</v>
      </c>
      <c r="K44" s="5">
        <f t="shared" si="5"/>
        <v>128885.715</v>
      </c>
      <c r="L44" s="5"/>
      <c r="M44" s="5">
        <v>0</v>
      </c>
      <c r="N44" s="5">
        <v>0</v>
      </c>
      <c r="O44" s="5">
        <v>32025.86</v>
      </c>
      <c r="P44" s="5"/>
      <c r="Q44" s="5">
        <v>557935.55</v>
      </c>
      <c r="R44" s="5">
        <v>9667.01</v>
      </c>
      <c r="S44" s="5">
        <v>225745.57</v>
      </c>
      <c r="T44" s="5"/>
      <c r="U44" s="5"/>
      <c r="V44" s="5"/>
      <c r="W44" s="5"/>
      <c r="X44" s="5"/>
      <c r="Y44" s="5"/>
    </row>
    <row r="45" spans="1:25" ht="12.75">
      <c r="A45" s="37">
        <f t="shared" si="6"/>
        <v>29</v>
      </c>
      <c r="B45" s="6" t="s">
        <v>170</v>
      </c>
      <c r="C45" s="5">
        <f t="shared" si="0"/>
        <v>-0.5999999999985448</v>
      </c>
      <c r="D45" s="5">
        <f t="shared" si="1"/>
        <v>-0.6</v>
      </c>
      <c r="E45" s="5"/>
      <c r="F45" s="5"/>
      <c r="G45" s="5">
        <f t="shared" si="2"/>
        <v>-1</v>
      </c>
      <c r="H45" s="5"/>
      <c r="I45" s="5">
        <f t="shared" si="3"/>
        <v>-0.2999999999996362</v>
      </c>
      <c r="J45" s="5">
        <f t="shared" si="4"/>
        <v>-0.049999999999636204</v>
      </c>
      <c r="K45" s="5">
        <f t="shared" si="5"/>
        <v>-0.25</v>
      </c>
      <c r="L45" s="5"/>
      <c r="M45" s="5">
        <f>-31380.3+31380</f>
        <v>-0.2999999999992724</v>
      </c>
      <c r="N45" s="5">
        <f>-12552.05+12552</f>
        <v>-0.049999999999272404</v>
      </c>
      <c r="O45" s="5">
        <f>-18828.25+18828</f>
        <v>-0.25</v>
      </c>
      <c r="P45" s="5"/>
      <c r="Q45" s="5">
        <v>-0.3</v>
      </c>
      <c r="R45" s="5">
        <v>-0.05</v>
      </c>
      <c r="S45" s="5">
        <v>-0.25</v>
      </c>
      <c r="T45" s="5"/>
      <c r="U45" s="5"/>
      <c r="V45" s="5"/>
      <c r="W45" s="5"/>
      <c r="X45" s="5"/>
      <c r="Y45" s="5"/>
    </row>
    <row r="46" spans="1:25" ht="12.75">
      <c r="A46" s="37">
        <f t="shared" si="6"/>
        <v>30</v>
      </c>
      <c r="B46" s="6" t="s">
        <v>171</v>
      </c>
      <c r="C46" s="5">
        <f t="shared" si="0"/>
        <v>-643939.2000000001</v>
      </c>
      <c r="D46" s="5">
        <f t="shared" si="1"/>
        <v>-570985.9</v>
      </c>
      <c r="E46" s="5"/>
      <c r="F46" s="5"/>
      <c r="G46" s="5">
        <f t="shared" si="2"/>
        <v>-607463</v>
      </c>
      <c r="H46" s="5"/>
      <c r="I46" s="5">
        <f t="shared" si="3"/>
        <v>-631129.5750000001</v>
      </c>
      <c r="J46" s="5">
        <f t="shared" si="4"/>
        <v>16703.699999999997</v>
      </c>
      <c r="K46" s="5">
        <f t="shared" si="5"/>
        <v>6963.324999999997</v>
      </c>
      <c r="L46" s="5"/>
      <c r="M46" s="5">
        <f>-1074265.85+415953</f>
        <v>-658312.8500000001</v>
      </c>
      <c r="N46" s="5">
        <f>-159670.35+166370</f>
        <v>6699.649999999994</v>
      </c>
      <c r="O46" s="5">
        <f>-246008+253682</f>
        <v>7674</v>
      </c>
      <c r="P46" s="5"/>
      <c r="Q46" s="5">
        <f>-1019899.3+415953</f>
        <v>-603946.3</v>
      </c>
      <c r="R46" s="5">
        <f>-139662.25+166370</f>
        <v>26707.75</v>
      </c>
      <c r="S46" s="5">
        <f>-247429.35+253682</f>
        <v>6252.649999999994</v>
      </c>
      <c r="T46" s="5"/>
      <c r="U46" s="5"/>
      <c r="V46" s="5"/>
      <c r="W46" s="5"/>
      <c r="X46" s="5"/>
      <c r="Y46" s="5"/>
    </row>
    <row r="47" spans="1:25" ht="12.75">
      <c r="A47" s="37">
        <f t="shared" si="6"/>
        <v>31</v>
      </c>
      <c r="B47" s="6" t="s">
        <v>172</v>
      </c>
      <c r="C47" s="5">
        <f t="shared" si="0"/>
        <v>83457.35000000003</v>
      </c>
      <c r="D47" s="5">
        <f t="shared" si="1"/>
        <v>134854.15000000005</v>
      </c>
      <c r="E47" s="5"/>
      <c r="F47" s="5"/>
      <c r="G47" s="5">
        <f t="shared" si="2"/>
        <v>109156</v>
      </c>
      <c r="H47" s="5"/>
      <c r="I47" s="5">
        <f t="shared" si="3"/>
        <v>-30161.699999999953</v>
      </c>
      <c r="J47" s="5">
        <f t="shared" si="4"/>
        <v>34603.3</v>
      </c>
      <c r="K47" s="5">
        <f t="shared" si="5"/>
        <v>104714.15</v>
      </c>
      <c r="L47" s="5"/>
      <c r="M47" s="5">
        <f>-528868.2+591929</f>
        <v>63060.80000000005</v>
      </c>
      <c r="N47" s="5">
        <f>-234521+236771</f>
        <v>2250</v>
      </c>
      <c r="O47" s="5">
        <f>-337010.45+355157</f>
        <v>18146.54999999999</v>
      </c>
      <c r="P47" s="5"/>
      <c r="Q47" s="5">
        <f>-715313.2+591929</f>
        <v>-123384.19999999995</v>
      </c>
      <c r="R47" s="5">
        <f>-169814.4+236771</f>
        <v>66956.6</v>
      </c>
      <c r="S47" s="5">
        <f>-163875.25+355157</f>
        <v>191281.75</v>
      </c>
      <c r="T47" s="5"/>
      <c r="U47" s="5"/>
      <c r="V47" s="5"/>
      <c r="W47" s="5"/>
      <c r="X47" s="5"/>
      <c r="Y47" s="5"/>
    </row>
    <row r="48" spans="1:25" ht="12.75">
      <c r="A48" s="37">
        <f t="shared" si="6"/>
        <v>32</v>
      </c>
      <c r="B48" s="6" t="s">
        <v>173</v>
      </c>
      <c r="C48" s="5">
        <f t="shared" si="0"/>
        <v>49457.09999999998</v>
      </c>
      <c r="D48" s="5">
        <f t="shared" si="1"/>
        <v>-3.8500000000349246</v>
      </c>
      <c r="E48" s="5"/>
      <c r="F48" s="5"/>
      <c r="G48" s="5">
        <f t="shared" si="2"/>
        <v>24727</v>
      </c>
      <c r="H48" s="5"/>
      <c r="I48" s="5">
        <f t="shared" si="3"/>
        <v>-24730.475</v>
      </c>
      <c r="J48" s="5">
        <f t="shared" si="4"/>
        <v>-240348.5</v>
      </c>
      <c r="K48" s="5">
        <f t="shared" si="5"/>
        <v>289805.6</v>
      </c>
      <c r="L48" s="5"/>
      <c r="M48" s="5">
        <v>0</v>
      </c>
      <c r="N48" s="5">
        <v>-240348.5</v>
      </c>
      <c r="O48" s="5">
        <v>289805.6</v>
      </c>
      <c r="P48" s="5"/>
      <c r="Q48" s="5">
        <v>-49460.95</v>
      </c>
      <c r="R48" s="5">
        <v>-240348.5</v>
      </c>
      <c r="S48" s="5">
        <v>289805.6</v>
      </c>
      <c r="T48" s="5"/>
      <c r="U48" s="5"/>
      <c r="V48" s="5"/>
      <c r="W48" s="5"/>
      <c r="X48" s="5"/>
      <c r="Y48" s="5"/>
    </row>
    <row r="49" spans="1:25" ht="12.75">
      <c r="A49" s="37">
        <f t="shared" si="6"/>
        <v>33</v>
      </c>
      <c r="B49" s="6" t="s">
        <v>174</v>
      </c>
      <c r="C49" s="5">
        <f aca="true" t="shared" si="7" ref="C49:C80">SUM(M49:O49)</f>
        <v>-177579.36</v>
      </c>
      <c r="D49" s="5">
        <f aca="true" t="shared" si="8" ref="D49:D80">SUM(Q49:S49)</f>
        <v>-177579.36</v>
      </c>
      <c r="E49" s="5"/>
      <c r="F49" s="5"/>
      <c r="G49" s="5">
        <f aca="true" t="shared" si="9" ref="G49:G80">ROUND(SUM(C49:F49)/2,0)</f>
        <v>-177579</v>
      </c>
      <c r="H49" s="5"/>
      <c r="I49" s="5">
        <f aca="true" t="shared" si="10" ref="I49:I80">(+M49+Q49)/2</f>
        <v>-177579.36</v>
      </c>
      <c r="J49" s="5">
        <f aca="true" t="shared" si="11" ref="J49:J80">(+N49+R49)/2</f>
        <v>0</v>
      </c>
      <c r="K49" s="5">
        <f aca="true" t="shared" si="12" ref="K49:K80">(+O49+S49)/2</f>
        <v>0</v>
      </c>
      <c r="L49" s="5"/>
      <c r="M49" s="5">
        <v>-177579.36</v>
      </c>
      <c r="N49" s="5">
        <v>0</v>
      </c>
      <c r="O49" s="5">
        <v>0</v>
      </c>
      <c r="P49" s="5"/>
      <c r="Q49" s="5">
        <v>-177579.36</v>
      </c>
      <c r="R49" s="5">
        <v>0</v>
      </c>
      <c r="S49" s="5">
        <v>0</v>
      </c>
      <c r="T49" s="5"/>
      <c r="U49" s="5"/>
      <c r="V49" s="5"/>
      <c r="W49" s="5"/>
      <c r="X49" s="5"/>
      <c r="Y49" s="5"/>
    </row>
    <row r="50" spans="1:25" ht="12.75">
      <c r="A50" s="37">
        <f aca="true" t="shared" si="13" ref="A50:A81">A49+1</f>
        <v>34</v>
      </c>
      <c r="B50" s="6" t="s">
        <v>175</v>
      </c>
      <c r="C50" s="5">
        <f t="shared" si="7"/>
        <v>2.09</v>
      </c>
      <c r="D50" s="5">
        <f t="shared" si="8"/>
        <v>2.09</v>
      </c>
      <c r="E50" s="5"/>
      <c r="F50" s="5"/>
      <c r="G50" s="5">
        <f t="shared" si="9"/>
        <v>2</v>
      </c>
      <c r="H50" s="5"/>
      <c r="I50" s="5">
        <f t="shared" si="10"/>
        <v>0</v>
      </c>
      <c r="J50" s="5">
        <f t="shared" si="11"/>
        <v>2.09</v>
      </c>
      <c r="K50" s="5">
        <f t="shared" si="12"/>
        <v>0</v>
      </c>
      <c r="L50" s="5"/>
      <c r="M50" s="5">
        <v>0</v>
      </c>
      <c r="N50" s="5">
        <v>2.09</v>
      </c>
      <c r="O50" s="5">
        <v>0</v>
      </c>
      <c r="P50" s="5"/>
      <c r="Q50" s="5">
        <v>0</v>
      </c>
      <c r="R50" s="5">
        <v>2.09</v>
      </c>
      <c r="S50" s="5">
        <v>0</v>
      </c>
      <c r="T50" s="5"/>
      <c r="U50" s="5"/>
      <c r="V50" s="5"/>
      <c r="W50" s="5"/>
      <c r="X50" s="5"/>
      <c r="Y50" s="5"/>
    </row>
    <row r="51" spans="1:25" ht="12.75">
      <c r="A51" s="37">
        <f t="shared" si="13"/>
        <v>35</v>
      </c>
      <c r="B51" s="6" t="s">
        <v>176</v>
      </c>
      <c r="C51" s="5">
        <f t="shared" si="7"/>
        <v>-0.01</v>
      </c>
      <c r="D51" s="5">
        <f t="shared" si="8"/>
        <v>-0.01</v>
      </c>
      <c r="E51" s="5"/>
      <c r="F51" s="5"/>
      <c r="G51" s="5">
        <f t="shared" si="9"/>
        <v>0</v>
      </c>
      <c r="H51" s="5"/>
      <c r="I51" s="5">
        <f t="shared" si="10"/>
        <v>-0.01</v>
      </c>
      <c r="J51" s="5">
        <f t="shared" si="11"/>
        <v>0</v>
      </c>
      <c r="K51" s="5">
        <f t="shared" si="12"/>
        <v>0</v>
      </c>
      <c r="L51" s="5"/>
      <c r="M51" s="5">
        <v>-0.01</v>
      </c>
      <c r="N51" s="5">
        <v>0</v>
      </c>
      <c r="O51" s="5">
        <v>0</v>
      </c>
      <c r="P51" s="5"/>
      <c r="Q51" s="5">
        <v>-0.01</v>
      </c>
      <c r="R51" s="5">
        <v>0</v>
      </c>
      <c r="S51" s="5">
        <v>0</v>
      </c>
      <c r="T51" s="5"/>
      <c r="U51" s="5"/>
      <c r="V51" s="5"/>
      <c r="W51" s="5"/>
      <c r="X51" s="5"/>
      <c r="Y51" s="5"/>
    </row>
    <row r="52" spans="1:25" ht="12.75">
      <c r="A52" s="37">
        <f t="shared" si="13"/>
        <v>36</v>
      </c>
      <c r="B52" s="6" t="s">
        <v>177</v>
      </c>
      <c r="C52" s="5">
        <f t="shared" si="7"/>
        <v>2356384.4</v>
      </c>
      <c r="D52" s="5">
        <f t="shared" si="8"/>
        <v>2717397.71</v>
      </c>
      <c r="E52" s="5"/>
      <c r="F52" s="5"/>
      <c r="G52" s="5">
        <f t="shared" si="9"/>
        <v>2536891</v>
      </c>
      <c r="H52" s="5"/>
      <c r="I52" s="5">
        <f t="shared" si="10"/>
        <v>2536891.0549999997</v>
      </c>
      <c r="J52" s="5">
        <f t="shared" si="11"/>
        <v>0</v>
      </c>
      <c r="K52" s="5">
        <f t="shared" si="12"/>
        <v>0</v>
      </c>
      <c r="L52" s="5"/>
      <c r="M52" s="5">
        <v>2356384.4</v>
      </c>
      <c r="N52" s="5">
        <v>0</v>
      </c>
      <c r="O52" s="5">
        <v>0</v>
      </c>
      <c r="P52" s="5"/>
      <c r="Q52" s="5">
        <v>2717397.71</v>
      </c>
      <c r="R52" s="5">
        <v>0</v>
      </c>
      <c r="S52" s="5">
        <v>0</v>
      </c>
      <c r="T52" s="5"/>
      <c r="U52" s="5"/>
      <c r="V52" s="5"/>
      <c r="W52" s="5"/>
      <c r="X52" s="5"/>
      <c r="Y52" s="5"/>
    </row>
    <row r="53" spans="1:25" ht="12.75">
      <c r="A53" s="37">
        <f t="shared" si="13"/>
        <v>37</v>
      </c>
      <c r="B53" s="6" t="s">
        <v>178</v>
      </c>
      <c r="C53" s="5">
        <f t="shared" si="7"/>
        <v>993363.61</v>
      </c>
      <c r="D53" s="5">
        <f t="shared" si="8"/>
        <v>1329995.18</v>
      </c>
      <c r="E53" s="5"/>
      <c r="F53" s="5"/>
      <c r="G53" s="5">
        <f t="shared" si="9"/>
        <v>1161679</v>
      </c>
      <c r="H53" s="5"/>
      <c r="I53" s="5">
        <f t="shared" si="10"/>
        <v>1161679.395</v>
      </c>
      <c r="J53" s="5">
        <f t="shared" si="11"/>
        <v>0</v>
      </c>
      <c r="K53" s="5">
        <f t="shared" si="12"/>
        <v>0</v>
      </c>
      <c r="L53" s="5"/>
      <c r="M53" s="5">
        <v>993363.61</v>
      </c>
      <c r="N53" s="5">
        <v>0</v>
      </c>
      <c r="O53" s="5">
        <v>0</v>
      </c>
      <c r="P53" s="5"/>
      <c r="Q53" s="5">
        <v>1329995.18</v>
      </c>
      <c r="R53" s="5">
        <v>0</v>
      </c>
      <c r="S53" s="5">
        <v>0</v>
      </c>
      <c r="T53" s="5"/>
      <c r="U53" s="5"/>
      <c r="V53" s="5"/>
      <c r="W53" s="5"/>
      <c r="X53" s="5"/>
      <c r="Y53" s="5"/>
    </row>
    <row r="54" spans="1:25" ht="12.75">
      <c r="A54" s="37">
        <f t="shared" si="13"/>
        <v>38</v>
      </c>
      <c r="B54" s="6" t="s">
        <v>179</v>
      </c>
      <c r="C54" s="5">
        <f t="shared" si="7"/>
        <v>288628.2</v>
      </c>
      <c r="D54" s="5">
        <f t="shared" si="8"/>
        <v>241499.92</v>
      </c>
      <c r="E54" s="5"/>
      <c r="F54" s="5"/>
      <c r="G54" s="5">
        <f t="shared" si="9"/>
        <v>265064</v>
      </c>
      <c r="H54" s="5"/>
      <c r="I54" s="5">
        <f t="shared" si="10"/>
        <v>265064.06</v>
      </c>
      <c r="J54" s="5">
        <f t="shared" si="11"/>
        <v>0</v>
      </c>
      <c r="K54" s="5">
        <f t="shared" si="12"/>
        <v>0</v>
      </c>
      <c r="L54" s="5"/>
      <c r="M54" s="5">
        <v>288628.2</v>
      </c>
      <c r="N54" s="5">
        <v>0</v>
      </c>
      <c r="O54" s="5">
        <v>0</v>
      </c>
      <c r="P54" s="5"/>
      <c r="Q54" s="5">
        <v>241499.92</v>
      </c>
      <c r="R54" s="5">
        <v>0</v>
      </c>
      <c r="S54" s="5">
        <v>0</v>
      </c>
      <c r="T54" s="5"/>
      <c r="U54" s="5"/>
      <c r="V54" s="5"/>
      <c r="W54" s="5"/>
      <c r="X54" s="5"/>
      <c r="Y54" s="5"/>
    </row>
    <row r="55" spans="1:25" ht="12.75">
      <c r="A55" s="37">
        <f t="shared" si="13"/>
        <v>39</v>
      </c>
      <c r="B55" s="6" t="s">
        <v>180</v>
      </c>
      <c r="C55" s="5">
        <f t="shared" si="7"/>
        <v>1053218.47</v>
      </c>
      <c r="D55" s="5">
        <f t="shared" si="8"/>
        <v>1117987.5</v>
      </c>
      <c r="E55" s="5"/>
      <c r="F55" s="5"/>
      <c r="G55" s="5">
        <f t="shared" si="9"/>
        <v>1085603</v>
      </c>
      <c r="H55" s="5"/>
      <c r="I55" s="5">
        <f t="shared" si="10"/>
        <v>1085602.9849999999</v>
      </c>
      <c r="J55" s="5">
        <f t="shared" si="11"/>
        <v>0</v>
      </c>
      <c r="K55" s="5">
        <f t="shared" si="12"/>
        <v>0</v>
      </c>
      <c r="L55" s="5"/>
      <c r="M55" s="5">
        <v>1053218.47</v>
      </c>
      <c r="N55" s="5">
        <v>0</v>
      </c>
      <c r="O55" s="5">
        <v>0</v>
      </c>
      <c r="P55" s="5"/>
      <c r="Q55" s="5">
        <v>1117987.5</v>
      </c>
      <c r="R55" s="5">
        <v>0</v>
      </c>
      <c r="S55" s="5">
        <v>0</v>
      </c>
      <c r="T55" s="5"/>
      <c r="U55" s="5"/>
      <c r="V55" s="5"/>
      <c r="W55" s="5"/>
      <c r="X55" s="5"/>
      <c r="Y55" s="5"/>
    </row>
    <row r="56" spans="1:25" ht="12.75">
      <c r="A56" s="37">
        <f t="shared" si="13"/>
        <v>40</v>
      </c>
      <c r="B56" s="6" t="s">
        <v>181</v>
      </c>
      <c r="C56" s="5">
        <f t="shared" si="7"/>
        <v>616213</v>
      </c>
      <c r="D56" s="5">
        <f t="shared" si="8"/>
        <v>698130.85</v>
      </c>
      <c r="E56" s="5"/>
      <c r="F56" s="5"/>
      <c r="G56" s="5">
        <f t="shared" si="9"/>
        <v>657172</v>
      </c>
      <c r="H56" s="5"/>
      <c r="I56" s="5">
        <f t="shared" si="10"/>
        <v>0</v>
      </c>
      <c r="J56" s="5">
        <f t="shared" si="11"/>
        <v>657171.925</v>
      </c>
      <c r="K56" s="5">
        <f t="shared" si="12"/>
        <v>0</v>
      </c>
      <c r="L56" s="5"/>
      <c r="M56" s="5">
        <v>0</v>
      </c>
      <c r="N56" s="5">
        <v>616213</v>
      </c>
      <c r="O56" s="5">
        <v>0</v>
      </c>
      <c r="P56" s="5"/>
      <c r="Q56" s="5">
        <v>0</v>
      </c>
      <c r="R56" s="5">
        <v>698130.85</v>
      </c>
      <c r="S56" s="5">
        <v>0</v>
      </c>
      <c r="T56" s="5"/>
      <c r="U56" s="5"/>
      <c r="V56" s="5"/>
      <c r="W56" s="5"/>
      <c r="X56" s="5"/>
      <c r="Y56" s="5"/>
    </row>
    <row r="57" spans="1:25" ht="12.75">
      <c r="A57" s="37">
        <f t="shared" si="13"/>
        <v>41</v>
      </c>
      <c r="B57" s="6" t="s">
        <v>182</v>
      </c>
      <c r="C57" s="5">
        <f t="shared" si="7"/>
        <v>0</v>
      </c>
      <c r="D57" s="5">
        <f t="shared" si="8"/>
        <v>0</v>
      </c>
      <c r="E57" s="5"/>
      <c r="F57" s="5"/>
      <c r="G57" s="5">
        <f t="shared" si="9"/>
        <v>0</v>
      </c>
      <c r="H57" s="5"/>
      <c r="I57" s="5">
        <f t="shared" si="10"/>
        <v>0</v>
      </c>
      <c r="J57" s="5">
        <f t="shared" si="11"/>
        <v>0</v>
      </c>
      <c r="K57" s="5">
        <f t="shared" si="12"/>
        <v>0</v>
      </c>
      <c r="L57" s="5"/>
      <c r="M57" s="5">
        <v>0</v>
      </c>
      <c r="N57" s="5">
        <v>0</v>
      </c>
      <c r="O57" s="5">
        <v>0</v>
      </c>
      <c r="P57" s="5"/>
      <c r="Q57" s="5">
        <v>0</v>
      </c>
      <c r="R57" s="5">
        <v>0</v>
      </c>
      <c r="S57" s="5">
        <v>0</v>
      </c>
      <c r="T57" s="5"/>
      <c r="U57" s="5"/>
      <c r="V57" s="5"/>
      <c r="W57" s="5"/>
      <c r="X57" s="5"/>
      <c r="Y57" s="5"/>
    </row>
    <row r="58" spans="1:25" ht="12.75">
      <c r="A58" s="37">
        <f t="shared" si="13"/>
        <v>42</v>
      </c>
      <c r="B58" s="6" t="s">
        <v>183</v>
      </c>
      <c r="C58" s="5">
        <f t="shared" si="7"/>
        <v>13422</v>
      </c>
      <c r="D58" s="5">
        <f t="shared" si="8"/>
        <v>13422</v>
      </c>
      <c r="E58" s="5"/>
      <c r="F58" s="5"/>
      <c r="G58" s="5">
        <f t="shared" si="9"/>
        <v>13422</v>
      </c>
      <c r="H58" s="5"/>
      <c r="I58" s="5">
        <f t="shared" si="10"/>
        <v>13422</v>
      </c>
      <c r="J58" s="5">
        <f t="shared" si="11"/>
        <v>0</v>
      </c>
      <c r="K58" s="5">
        <f t="shared" si="12"/>
        <v>0</v>
      </c>
      <c r="L58" s="5"/>
      <c r="M58" s="5">
        <v>13422</v>
      </c>
      <c r="N58" s="5">
        <v>0</v>
      </c>
      <c r="O58" s="5">
        <v>0</v>
      </c>
      <c r="P58" s="5"/>
      <c r="Q58" s="5">
        <v>13422</v>
      </c>
      <c r="R58" s="5">
        <v>0</v>
      </c>
      <c r="S58" s="5">
        <v>0</v>
      </c>
      <c r="T58" s="5"/>
      <c r="U58" s="5"/>
      <c r="V58" s="5"/>
      <c r="W58" s="5"/>
      <c r="X58" s="5"/>
      <c r="Y58" s="5"/>
    </row>
    <row r="59" spans="1:25" ht="12.75">
      <c r="A59" s="37">
        <f t="shared" si="13"/>
        <v>43</v>
      </c>
      <c r="B59" s="6" t="s">
        <v>184</v>
      </c>
      <c r="C59" s="5">
        <f t="shared" si="7"/>
        <v>15660</v>
      </c>
      <c r="D59" s="5">
        <f t="shared" si="8"/>
        <v>15660</v>
      </c>
      <c r="E59" s="5"/>
      <c r="F59" s="5"/>
      <c r="G59" s="5">
        <f t="shared" si="9"/>
        <v>15660</v>
      </c>
      <c r="H59" s="5"/>
      <c r="I59" s="5">
        <f t="shared" si="10"/>
        <v>15660</v>
      </c>
      <c r="J59" s="5">
        <f t="shared" si="11"/>
        <v>0</v>
      </c>
      <c r="K59" s="5">
        <f t="shared" si="12"/>
        <v>0</v>
      </c>
      <c r="L59" s="5"/>
      <c r="M59" s="5">
        <v>15660</v>
      </c>
      <c r="N59" s="5">
        <v>0</v>
      </c>
      <c r="O59" s="5">
        <v>0</v>
      </c>
      <c r="P59" s="5"/>
      <c r="Q59" s="5">
        <v>15660</v>
      </c>
      <c r="R59" s="5">
        <v>0</v>
      </c>
      <c r="S59" s="5">
        <v>0</v>
      </c>
      <c r="T59" s="5"/>
      <c r="U59" s="5"/>
      <c r="V59" s="5"/>
      <c r="W59" s="5"/>
      <c r="X59" s="5"/>
      <c r="Y59" s="5"/>
    </row>
    <row r="60" spans="1:25" ht="12.75">
      <c r="A60" s="37">
        <f t="shared" si="13"/>
        <v>44</v>
      </c>
      <c r="B60" s="6" t="s">
        <v>185</v>
      </c>
      <c r="C60" s="5">
        <f t="shared" si="7"/>
        <v>99325</v>
      </c>
      <c r="D60" s="5">
        <f t="shared" si="8"/>
        <v>99325</v>
      </c>
      <c r="E60" s="5"/>
      <c r="F60" s="5"/>
      <c r="G60" s="5">
        <f t="shared" si="9"/>
        <v>99325</v>
      </c>
      <c r="H60" s="5"/>
      <c r="I60" s="5">
        <f t="shared" si="10"/>
        <v>99325</v>
      </c>
      <c r="J60" s="5">
        <f t="shared" si="11"/>
        <v>0</v>
      </c>
      <c r="K60" s="5">
        <f t="shared" si="12"/>
        <v>0</v>
      </c>
      <c r="L60" s="5"/>
      <c r="M60" s="5">
        <v>99325</v>
      </c>
      <c r="N60" s="5">
        <v>0</v>
      </c>
      <c r="O60" s="5">
        <v>0</v>
      </c>
      <c r="P60" s="5"/>
      <c r="Q60" s="5">
        <v>99325</v>
      </c>
      <c r="R60" s="5">
        <v>0</v>
      </c>
      <c r="S60" s="5">
        <v>0</v>
      </c>
      <c r="T60" s="5"/>
      <c r="U60" s="5"/>
      <c r="V60" s="5"/>
      <c r="W60" s="5"/>
      <c r="X60" s="5"/>
      <c r="Y60" s="5"/>
    </row>
    <row r="61" spans="1:25" ht="12.75">
      <c r="A61" s="37">
        <f t="shared" si="13"/>
        <v>45</v>
      </c>
      <c r="B61" s="6" t="s">
        <v>186</v>
      </c>
      <c r="C61" s="5">
        <f t="shared" si="7"/>
        <v>6218</v>
      </c>
      <c r="D61" s="5">
        <f t="shared" si="8"/>
        <v>6218</v>
      </c>
      <c r="E61" s="5"/>
      <c r="F61" s="5"/>
      <c r="G61" s="5">
        <f t="shared" si="9"/>
        <v>6218</v>
      </c>
      <c r="H61" s="5"/>
      <c r="I61" s="5">
        <f t="shared" si="10"/>
        <v>6218</v>
      </c>
      <c r="J61" s="5">
        <f t="shared" si="11"/>
        <v>0</v>
      </c>
      <c r="K61" s="5">
        <f t="shared" si="12"/>
        <v>0</v>
      </c>
      <c r="L61" s="5"/>
      <c r="M61" s="5">
        <v>6218</v>
      </c>
      <c r="N61" s="5">
        <v>0</v>
      </c>
      <c r="O61" s="5">
        <v>0</v>
      </c>
      <c r="P61" s="5"/>
      <c r="Q61" s="5">
        <v>6218</v>
      </c>
      <c r="R61" s="5">
        <v>0</v>
      </c>
      <c r="S61" s="5">
        <v>0</v>
      </c>
      <c r="T61" s="5"/>
      <c r="U61" s="5"/>
      <c r="V61" s="5"/>
      <c r="W61" s="5"/>
      <c r="X61" s="5"/>
      <c r="Y61" s="5"/>
    </row>
    <row r="62" spans="1:25" ht="12.75">
      <c r="A62" s="37">
        <f t="shared" si="13"/>
        <v>46</v>
      </c>
      <c r="B62" s="6" t="s">
        <v>187</v>
      </c>
      <c r="C62" s="5">
        <f t="shared" si="7"/>
        <v>368903.85</v>
      </c>
      <c r="D62" s="5">
        <f t="shared" si="8"/>
        <v>-1272315.45</v>
      </c>
      <c r="E62" s="5"/>
      <c r="F62" s="5"/>
      <c r="G62" s="5">
        <f t="shared" si="9"/>
        <v>-451706</v>
      </c>
      <c r="H62" s="5"/>
      <c r="I62" s="5">
        <f t="shared" si="10"/>
        <v>-451705.8</v>
      </c>
      <c r="J62" s="5">
        <f t="shared" si="11"/>
        <v>0</v>
      </c>
      <c r="K62" s="5">
        <f t="shared" si="12"/>
        <v>0</v>
      </c>
      <c r="L62" s="5"/>
      <c r="M62" s="5">
        <v>368903.85</v>
      </c>
      <c r="N62" s="5">
        <v>0</v>
      </c>
      <c r="O62" s="5">
        <v>0</v>
      </c>
      <c r="P62" s="5"/>
      <c r="Q62" s="5">
        <v>-1272315.45</v>
      </c>
      <c r="R62" s="5">
        <v>0</v>
      </c>
      <c r="S62" s="5">
        <v>0</v>
      </c>
      <c r="T62" s="5"/>
      <c r="U62" s="5"/>
      <c r="V62" s="5"/>
      <c r="W62" s="5"/>
      <c r="X62" s="5"/>
      <c r="Y62" s="5"/>
    </row>
    <row r="63" spans="1:25" ht="12.75">
      <c r="A63" s="37">
        <f t="shared" si="13"/>
        <v>47</v>
      </c>
      <c r="B63" s="6" t="s">
        <v>188</v>
      </c>
      <c r="C63" s="5">
        <f t="shared" si="7"/>
        <v>0</v>
      </c>
      <c r="D63" s="5">
        <f t="shared" si="8"/>
        <v>0</v>
      </c>
      <c r="E63" s="5"/>
      <c r="F63" s="5"/>
      <c r="G63" s="5">
        <f t="shared" si="9"/>
        <v>0</v>
      </c>
      <c r="H63" s="5"/>
      <c r="I63" s="5">
        <f t="shared" si="10"/>
        <v>0</v>
      </c>
      <c r="J63" s="5">
        <f t="shared" si="11"/>
        <v>0</v>
      </c>
      <c r="K63" s="5">
        <f t="shared" si="12"/>
        <v>0</v>
      </c>
      <c r="L63" s="5"/>
      <c r="M63" s="5">
        <v>0</v>
      </c>
      <c r="N63" s="5">
        <v>0</v>
      </c>
      <c r="O63" s="5">
        <v>0</v>
      </c>
      <c r="P63" s="5"/>
      <c r="Q63" s="5">
        <v>0</v>
      </c>
      <c r="R63" s="5">
        <v>0</v>
      </c>
      <c r="S63" s="5">
        <v>0</v>
      </c>
      <c r="T63" s="5"/>
      <c r="U63" s="5"/>
      <c r="V63" s="5"/>
      <c r="W63" s="5"/>
      <c r="X63" s="5"/>
      <c r="Y63" s="5"/>
    </row>
    <row r="64" spans="1:25" ht="12.75">
      <c r="A64" s="37">
        <f t="shared" si="13"/>
        <v>48</v>
      </c>
      <c r="B64" s="6" t="s">
        <v>189</v>
      </c>
      <c r="C64" s="5">
        <f t="shared" si="7"/>
        <v>477874.61</v>
      </c>
      <c r="D64" s="5">
        <f t="shared" si="8"/>
        <v>608207.69</v>
      </c>
      <c r="E64" s="5"/>
      <c r="F64" s="5"/>
      <c r="G64" s="5">
        <f t="shared" si="9"/>
        <v>543041</v>
      </c>
      <c r="H64" s="5"/>
      <c r="I64" s="5">
        <f t="shared" si="10"/>
        <v>0</v>
      </c>
      <c r="J64" s="5">
        <f t="shared" si="11"/>
        <v>0</v>
      </c>
      <c r="K64" s="5">
        <f t="shared" si="12"/>
        <v>543041.1499999999</v>
      </c>
      <c r="L64" s="5"/>
      <c r="M64" s="5">
        <v>0</v>
      </c>
      <c r="N64" s="5">
        <v>0</v>
      </c>
      <c r="O64" s="5">
        <v>477874.61</v>
      </c>
      <c r="P64" s="5"/>
      <c r="Q64" s="5">
        <v>0</v>
      </c>
      <c r="R64" s="5">
        <v>0</v>
      </c>
      <c r="S64" s="5">
        <v>608207.69</v>
      </c>
      <c r="T64" s="5"/>
      <c r="U64" s="5"/>
      <c r="V64" s="5"/>
      <c r="W64" s="5"/>
      <c r="X64" s="5"/>
      <c r="Y64" s="5"/>
    </row>
    <row r="65" spans="1:25" ht="12.75">
      <c r="A65" s="37">
        <f t="shared" si="13"/>
        <v>49</v>
      </c>
      <c r="B65" s="6" t="s">
        <v>190</v>
      </c>
      <c r="C65" s="5">
        <f t="shared" si="7"/>
        <v>708977.94</v>
      </c>
      <c r="D65" s="5">
        <f t="shared" si="8"/>
        <v>773430.43</v>
      </c>
      <c r="E65" s="5"/>
      <c r="F65" s="5"/>
      <c r="G65" s="5">
        <f t="shared" si="9"/>
        <v>741204</v>
      </c>
      <c r="H65" s="5"/>
      <c r="I65" s="5">
        <f t="shared" si="10"/>
        <v>0</v>
      </c>
      <c r="J65" s="5">
        <f t="shared" si="11"/>
        <v>741204.185</v>
      </c>
      <c r="K65" s="5">
        <f t="shared" si="12"/>
        <v>0</v>
      </c>
      <c r="L65" s="5"/>
      <c r="M65" s="5">
        <v>0</v>
      </c>
      <c r="N65" s="5">
        <v>708977.94</v>
      </c>
      <c r="O65" s="5">
        <v>0</v>
      </c>
      <c r="P65" s="5"/>
      <c r="Q65" s="5">
        <v>0</v>
      </c>
      <c r="R65" s="5">
        <v>773430.43</v>
      </c>
      <c r="S65" s="5">
        <v>0</v>
      </c>
      <c r="T65" s="5"/>
      <c r="U65" s="5"/>
      <c r="V65" s="5"/>
      <c r="W65" s="5"/>
      <c r="X65" s="5"/>
      <c r="Y65" s="5"/>
    </row>
    <row r="66" spans="1:25" ht="12.75">
      <c r="A66" s="37">
        <f t="shared" si="13"/>
        <v>50</v>
      </c>
      <c r="B66" s="6" t="s">
        <v>191</v>
      </c>
      <c r="C66" s="5">
        <f t="shared" si="7"/>
        <v>5458851.15</v>
      </c>
      <c r="D66" s="5">
        <f t="shared" si="8"/>
        <v>8899118.66</v>
      </c>
      <c r="E66" s="5"/>
      <c r="F66" s="5"/>
      <c r="G66" s="5">
        <f t="shared" si="9"/>
        <v>7178985</v>
      </c>
      <c r="H66" s="5"/>
      <c r="I66" s="5">
        <f t="shared" si="10"/>
        <v>7178984.905</v>
      </c>
      <c r="J66" s="5">
        <f t="shared" si="11"/>
        <v>0</v>
      </c>
      <c r="K66" s="5">
        <f t="shared" si="12"/>
        <v>0</v>
      </c>
      <c r="L66" s="5"/>
      <c r="M66" s="5">
        <v>5458851.15</v>
      </c>
      <c r="N66" s="5">
        <v>0</v>
      </c>
      <c r="O66" s="5">
        <v>0</v>
      </c>
      <c r="P66" s="5"/>
      <c r="Q66" s="5">
        <v>8899118.66</v>
      </c>
      <c r="R66" s="5">
        <v>0</v>
      </c>
      <c r="S66" s="5">
        <v>0</v>
      </c>
      <c r="T66" s="5"/>
      <c r="U66" s="5"/>
      <c r="V66" s="5"/>
      <c r="W66" s="5"/>
      <c r="X66" s="5"/>
      <c r="Y66" s="5"/>
    </row>
    <row r="67" spans="1:25" ht="12.75">
      <c r="A67" s="37">
        <f t="shared" si="13"/>
        <v>51</v>
      </c>
      <c r="B67" s="6" t="s">
        <v>192</v>
      </c>
      <c r="C67" s="5">
        <f t="shared" si="7"/>
        <v>-4483739.09</v>
      </c>
      <c r="D67" s="5">
        <f t="shared" si="8"/>
        <v>-4419974.58</v>
      </c>
      <c r="E67" s="5"/>
      <c r="F67" s="5"/>
      <c r="G67" s="5">
        <f t="shared" si="9"/>
        <v>-4451857</v>
      </c>
      <c r="H67" s="5"/>
      <c r="I67" s="5">
        <f t="shared" si="10"/>
        <v>0</v>
      </c>
      <c r="J67" s="5">
        <f t="shared" si="11"/>
        <v>0</v>
      </c>
      <c r="K67" s="5">
        <f t="shared" si="12"/>
        <v>-4451856.835</v>
      </c>
      <c r="L67" s="5"/>
      <c r="M67" s="5">
        <v>0</v>
      </c>
      <c r="N67" s="5">
        <v>0</v>
      </c>
      <c r="O67" s="5">
        <v>-4483739.09</v>
      </c>
      <c r="P67" s="5"/>
      <c r="Q67" s="5">
        <v>0</v>
      </c>
      <c r="R67" s="5">
        <v>0</v>
      </c>
      <c r="S67" s="5">
        <v>-4419974.58</v>
      </c>
      <c r="T67" s="5"/>
      <c r="U67" s="5"/>
      <c r="V67" s="5"/>
      <c r="W67" s="5"/>
      <c r="X67" s="5"/>
      <c r="Y67" s="5"/>
    </row>
    <row r="68" spans="1:25" ht="12.75">
      <c r="A68" s="37">
        <f t="shared" si="13"/>
        <v>52</v>
      </c>
      <c r="B68" s="6" t="s">
        <v>193</v>
      </c>
      <c r="C68" s="5">
        <f t="shared" si="7"/>
        <v>2898.1</v>
      </c>
      <c r="D68" s="5">
        <f t="shared" si="8"/>
        <v>10061.55</v>
      </c>
      <c r="E68" s="5"/>
      <c r="F68" s="5"/>
      <c r="G68" s="5">
        <f t="shared" si="9"/>
        <v>6480</v>
      </c>
      <c r="H68" s="5"/>
      <c r="I68" s="5">
        <f t="shared" si="10"/>
        <v>5538.5</v>
      </c>
      <c r="J68" s="5">
        <f t="shared" si="11"/>
        <v>88.675</v>
      </c>
      <c r="K68" s="5">
        <f t="shared" si="12"/>
        <v>852.65</v>
      </c>
      <c r="L68" s="5"/>
      <c r="M68" s="5">
        <v>1867</v>
      </c>
      <c r="N68" s="5">
        <v>4.85</v>
      </c>
      <c r="O68" s="5">
        <v>1026.25</v>
      </c>
      <c r="P68" s="5"/>
      <c r="Q68" s="5">
        <v>9210</v>
      </c>
      <c r="R68" s="5">
        <v>172.5</v>
      </c>
      <c r="S68" s="5">
        <v>679.05</v>
      </c>
      <c r="T68" s="5"/>
      <c r="U68" s="5"/>
      <c r="V68" s="5"/>
      <c r="W68" s="5"/>
      <c r="X68" s="5"/>
      <c r="Y68" s="5"/>
    </row>
    <row r="69" spans="1:25" ht="12.75">
      <c r="A69" s="37">
        <f t="shared" si="13"/>
        <v>53</v>
      </c>
      <c r="B69" s="6" t="s">
        <v>194</v>
      </c>
      <c r="C69" s="5">
        <f t="shared" si="7"/>
        <v>1562326</v>
      </c>
      <c r="D69" s="5">
        <f t="shared" si="8"/>
        <v>1562326</v>
      </c>
      <c r="E69" s="5"/>
      <c r="F69" s="5"/>
      <c r="G69" s="5">
        <f t="shared" si="9"/>
        <v>1562326</v>
      </c>
      <c r="H69" s="5"/>
      <c r="I69" s="5">
        <f t="shared" si="10"/>
        <v>0</v>
      </c>
      <c r="J69" s="5">
        <f t="shared" si="11"/>
        <v>1562326</v>
      </c>
      <c r="K69" s="5">
        <f t="shared" si="12"/>
        <v>0</v>
      </c>
      <c r="L69" s="5"/>
      <c r="M69" s="5">
        <v>0</v>
      </c>
      <c r="N69" s="5">
        <v>1562326</v>
      </c>
      <c r="O69" s="5">
        <v>0</v>
      </c>
      <c r="P69" s="5"/>
      <c r="Q69" s="5">
        <v>0</v>
      </c>
      <c r="R69" s="5">
        <v>1562326</v>
      </c>
      <c r="S69" s="5">
        <v>0</v>
      </c>
      <c r="T69" s="5"/>
      <c r="U69" s="5"/>
      <c r="V69" s="5"/>
      <c r="W69" s="5"/>
      <c r="X69" s="5"/>
      <c r="Y69" s="5"/>
    </row>
    <row r="70" spans="1:25" ht="12.75">
      <c r="A70" s="37">
        <f t="shared" si="13"/>
        <v>54</v>
      </c>
      <c r="B70" s="6" t="s">
        <v>195</v>
      </c>
      <c r="C70" s="5">
        <f t="shared" si="7"/>
        <v>14072157.620000001</v>
      </c>
      <c r="D70" s="5">
        <f t="shared" si="8"/>
        <v>13674097.31</v>
      </c>
      <c r="E70" s="5"/>
      <c r="F70" s="5"/>
      <c r="G70" s="5">
        <f t="shared" si="9"/>
        <v>13873127</v>
      </c>
      <c r="H70" s="5"/>
      <c r="I70" s="5">
        <f t="shared" si="10"/>
        <v>5813564.16</v>
      </c>
      <c r="J70" s="5">
        <f t="shared" si="11"/>
        <v>919420.875</v>
      </c>
      <c r="K70" s="5">
        <f t="shared" si="12"/>
        <v>7140142.43</v>
      </c>
      <c r="L70" s="5"/>
      <c r="M70" s="5">
        <v>5938389.78</v>
      </c>
      <c r="N70" s="5">
        <v>917462.56</v>
      </c>
      <c r="O70" s="5">
        <v>7216305.28</v>
      </c>
      <c r="P70" s="5"/>
      <c r="Q70" s="5">
        <v>5688738.54</v>
      </c>
      <c r="R70" s="5">
        <v>921379.19</v>
      </c>
      <c r="S70" s="5">
        <v>7063979.58</v>
      </c>
      <c r="T70" s="5"/>
      <c r="U70" s="5"/>
      <c r="V70" s="5"/>
      <c r="W70" s="5"/>
      <c r="X70" s="5"/>
      <c r="Y70" s="5"/>
    </row>
    <row r="71" spans="1:25" ht="12.75">
      <c r="A71" s="37">
        <f t="shared" si="13"/>
        <v>55</v>
      </c>
      <c r="B71" s="6" t="s">
        <v>196</v>
      </c>
      <c r="C71" s="5">
        <f t="shared" si="7"/>
        <v>9134490.4</v>
      </c>
      <c r="D71" s="5">
        <f t="shared" si="8"/>
        <v>6223600.25</v>
      </c>
      <c r="E71" s="5"/>
      <c r="F71" s="5"/>
      <c r="G71" s="5">
        <f t="shared" si="9"/>
        <v>7679045</v>
      </c>
      <c r="H71" s="5"/>
      <c r="I71" s="5">
        <f t="shared" si="10"/>
        <v>3669634.85</v>
      </c>
      <c r="J71" s="5">
        <f t="shared" si="11"/>
        <v>403711.875</v>
      </c>
      <c r="K71" s="5">
        <f t="shared" si="12"/>
        <v>3605698.5999999996</v>
      </c>
      <c r="L71" s="5"/>
      <c r="M71" s="5">
        <v>4405243.15</v>
      </c>
      <c r="N71" s="5">
        <v>468395.9</v>
      </c>
      <c r="O71" s="5">
        <v>4260851.35</v>
      </c>
      <c r="P71" s="5"/>
      <c r="Q71" s="5">
        <v>2934026.55</v>
      </c>
      <c r="R71" s="5">
        <v>339027.85</v>
      </c>
      <c r="S71" s="5">
        <v>2950545.85</v>
      </c>
      <c r="T71" s="5"/>
      <c r="U71" s="5"/>
      <c r="V71" s="5"/>
      <c r="W71" s="5"/>
      <c r="X71" s="5"/>
      <c r="Y71" s="5"/>
    </row>
    <row r="72" spans="1:25" ht="12.75">
      <c r="A72" s="37">
        <f t="shared" si="13"/>
        <v>56</v>
      </c>
      <c r="B72" s="6" t="s">
        <v>197</v>
      </c>
      <c r="C72" s="5">
        <f t="shared" si="7"/>
        <v>19867310.66</v>
      </c>
      <c r="D72" s="5">
        <f t="shared" si="8"/>
        <v>16061966.219999999</v>
      </c>
      <c r="E72" s="5"/>
      <c r="F72" s="5"/>
      <c r="G72" s="5">
        <f t="shared" si="9"/>
        <v>17964638</v>
      </c>
      <c r="H72" s="5"/>
      <c r="I72" s="5">
        <f t="shared" si="10"/>
        <v>7578692.865</v>
      </c>
      <c r="J72" s="5">
        <f t="shared" si="11"/>
        <v>1225918.7149999999</v>
      </c>
      <c r="K72" s="5">
        <f t="shared" si="12"/>
        <v>9160026.86</v>
      </c>
      <c r="L72" s="5"/>
      <c r="M72" s="5">
        <v>8394826.22</v>
      </c>
      <c r="N72" s="5">
        <v>1360122.42</v>
      </c>
      <c r="O72" s="5">
        <v>10112362.02</v>
      </c>
      <c r="P72" s="5"/>
      <c r="Q72" s="5">
        <v>6762559.51</v>
      </c>
      <c r="R72" s="5">
        <v>1091715.01</v>
      </c>
      <c r="S72" s="5">
        <v>8207691.7</v>
      </c>
      <c r="T72" s="5"/>
      <c r="U72" s="5"/>
      <c r="V72" s="5"/>
      <c r="W72" s="5"/>
      <c r="X72" s="5"/>
      <c r="Y72" s="5"/>
    </row>
    <row r="73" spans="1:25" ht="12.75">
      <c r="A73" s="37">
        <f t="shared" si="13"/>
        <v>57</v>
      </c>
      <c r="B73" s="6" t="s">
        <v>198</v>
      </c>
      <c r="C73" s="5">
        <f t="shared" si="7"/>
        <v>7953479.64</v>
      </c>
      <c r="D73" s="5">
        <f t="shared" si="8"/>
        <v>8947255.530000001</v>
      </c>
      <c r="E73" s="5"/>
      <c r="F73" s="5"/>
      <c r="G73" s="5">
        <f t="shared" si="9"/>
        <v>8450368</v>
      </c>
      <c r="H73" s="5"/>
      <c r="I73" s="5">
        <f t="shared" si="10"/>
        <v>3864500.73</v>
      </c>
      <c r="J73" s="5">
        <f t="shared" si="11"/>
        <v>862864.105</v>
      </c>
      <c r="K73" s="5">
        <f t="shared" si="12"/>
        <v>3723002.75</v>
      </c>
      <c r="L73" s="5"/>
      <c r="M73" s="5">
        <v>3692048.13</v>
      </c>
      <c r="N73" s="5">
        <v>792533.13</v>
      </c>
      <c r="O73" s="5">
        <v>3468898.38</v>
      </c>
      <c r="P73" s="5"/>
      <c r="Q73" s="5">
        <v>4036953.33</v>
      </c>
      <c r="R73" s="5">
        <v>933195.08</v>
      </c>
      <c r="S73" s="5">
        <v>3977107.12</v>
      </c>
      <c r="T73" s="5"/>
      <c r="U73" s="5"/>
      <c r="V73" s="5"/>
      <c r="W73" s="5"/>
      <c r="X73" s="5"/>
      <c r="Y73" s="5"/>
    </row>
    <row r="74" spans="1:25" ht="12.75">
      <c r="A74" s="37">
        <f t="shared" si="13"/>
        <v>58</v>
      </c>
      <c r="B74" s="6" t="s">
        <v>199</v>
      </c>
      <c r="C74" s="5">
        <f t="shared" si="7"/>
        <v>25558503.59</v>
      </c>
      <c r="D74" s="5">
        <f t="shared" si="8"/>
        <v>27650165.48</v>
      </c>
      <c r="E74" s="5"/>
      <c r="F74" s="5"/>
      <c r="G74" s="5">
        <f t="shared" si="9"/>
        <v>26604335</v>
      </c>
      <c r="H74" s="5"/>
      <c r="I74" s="5">
        <f t="shared" si="10"/>
        <v>26275747.634999998</v>
      </c>
      <c r="J74" s="5">
        <f t="shared" si="11"/>
        <v>5501.16</v>
      </c>
      <c r="K74" s="5">
        <f t="shared" si="12"/>
        <v>323085.74</v>
      </c>
      <c r="L74" s="5"/>
      <c r="M74" s="5">
        <v>25220160.7</v>
      </c>
      <c r="N74" s="5">
        <v>6014.12</v>
      </c>
      <c r="O74" s="5">
        <v>332328.77</v>
      </c>
      <c r="P74" s="5"/>
      <c r="Q74" s="5">
        <v>27331334.57</v>
      </c>
      <c r="R74" s="5">
        <v>4988.2</v>
      </c>
      <c r="S74" s="5">
        <v>313842.71</v>
      </c>
      <c r="T74" s="5"/>
      <c r="U74" s="5"/>
      <c r="V74" s="5"/>
      <c r="W74" s="5"/>
      <c r="X74" s="5"/>
      <c r="Y74" s="5"/>
    </row>
    <row r="75" spans="1:25" ht="12.75">
      <c r="A75" s="37">
        <f t="shared" si="13"/>
        <v>59</v>
      </c>
      <c r="B75" s="6" t="s">
        <v>200</v>
      </c>
      <c r="C75" s="5">
        <f t="shared" si="7"/>
        <v>-6159368.470000001</v>
      </c>
      <c r="D75" s="5">
        <f t="shared" si="8"/>
        <v>0</v>
      </c>
      <c r="E75" s="5"/>
      <c r="F75" s="5"/>
      <c r="G75" s="5">
        <f t="shared" si="9"/>
        <v>-3079684</v>
      </c>
      <c r="H75" s="5"/>
      <c r="I75" s="5">
        <f t="shared" si="10"/>
        <v>-1312619.86</v>
      </c>
      <c r="J75" s="5">
        <f t="shared" si="11"/>
        <v>-186864.78</v>
      </c>
      <c r="K75" s="5">
        <f t="shared" si="12"/>
        <v>-1580199.595</v>
      </c>
      <c r="L75" s="5"/>
      <c r="M75" s="5">
        <v>-2625239.72</v>
      </c>
      <c r="N75" s="5">
        <v>-373729.56</v>
      </c>
      <c r="O75" s="5">
        <v>-3160399.19</v>
      </c>
      <c r="P75" s="5"/>
      <c r="Q75" s="5">
        <v>0</v>
      </c>
      <c r="R75" s="5">
        <v>0</v>
      </c>
      <c r="S75" s="5">
        <v>0</v>
      </c>
      <c r="T75" s="5"/>
      <c r="U75" s="5"/>
      <c r="V75" s="5"/>
      <c r="W75" s="5"/>
      <c r="X75" s="5"/>
      <c r="Y75" s="5"/>
    </row>
    <row r="76" spans="1:25" ht="12.75">
      <c r="A76" s="37">
        <f t="shared" si="13"/>
        <v>60</v>
      </c>
      <c r="B76" s="6" t="s">
        <v>201</v>
      </c>
      <c r="C76" s="5">
        <f t="shared" si="7"/>
        <v>14606137.48</v>
      </c>
      <c r="D76" s="5">
        <f t="shared" si="8"/>
        <v>13810606.24</v>
      </c>
      <c r="E76" s="5"/>
      <c r="F76" s="5"/>
      <c r="G76" s="5">
        <f t="shared" si="9"/>
        <v>14208372</v>
      </c>
      <c r="H76" s="5"/>
      <c r="I76" s="5">
        <f t="shared" si="10"/>
        <v>14208371.86</v>
      </c>
      <c r="J76" s="5">
        <f t="shared" si="11"/>
        <v>0</v>
      </c>
      <c r="K76" s="5">
        <f t="shared" si="12"/>
        <v>0</v>
      </c>
      <c r="L76" s="5"/>
      <c r="M76" s="5">
        <v>14606137.48</v>
      </c>
      <c r="N76" s="5">
        <v>0</v>
      </c>
      <c r="O76" s="5">
        <v>0</v>
      </c>
      <c r="P76" s="5"/>
      <c r="Q76" s="5">
        <v>13810606.24</v>
      </c>
      <c r="R76" s="5">
        <v>0</v>
      </c>
      <c r="S76" s="5">
        <v>0</v>
      </c>
      <c r="T76" s="5"/>
      <c r="U76" s="5"/>
      <c r="V76" s="5"/>
      <c r="W76" s="5"/>
      <c r="X76" s="5"/>
      <c r="Y76" s="5"/>
    </row>
    <row r="77" spans="1:25" ht="12.75">
      <c r="A77" s="37">
        <f t="shared" si="13"/>
        <v>61</v>
      </c>
      <c r="B77" s="6" t="s">
        <v>202</v>
      </c>
      <c r="C77" s="5">
        <f t="shared" si="7"/>
        <v>68062912.35</v>
      </c>
      <c r="D77" s="5">
        <f t="shared" si="8"/>
        <v>60957062.55</v>
      </c>
      <c r="E77" s="5"/>
      <c r="F77" s="5"/>
      <c r="G77" s="5">
        <f t="shared" si="9"/>
        <v>64509987</v>
      </c>
      <c r="H77" s="5"/>
      <c r="I77" s="5">
        <f t="shared" si="10"/>
        <v>5991590.575</v>
      </c>
      <c r="J77" s="5">
        <f t="shared" si="11"/>
        <v>21015958.175</v>
      </c>
      <c r="K77" s="5">
        <f t="shared" si="12"/>
        <v>37502438.7</v>
      </c>
      <c r="L77" s="5"/>
      <c r="M77" s="5">
        <v>6965665.95</v>
      </c>
      <c r="N77" s="5">
        <v>21899997.1</v>
      </c>
      <c r="O77" s="5">
        <v>39197249.3</v>
      </c>
      <c r="P77" s="5"/>
      <c r="Q77" s="5">
        <v>5017515.2</v>
      </c>
      <c r="R77" s="5">
        <v>20131919.25</v>
      </c>
      <c r="S77" s="5">
        <v>35807628.1</v>
      </c>
      <c r="T77" s="5"/>
      <c r="U77" s="5"/>
      <c r="V77" s="5"/>
      <c r="W77" s="5"/>
      <c r="X77" s="5"/>
      <c r="Y77" s="5"/>
    </row>
    <row r="78" spans="1:25" ht="12.75">
      <c r="A78" s="37">
        <f t="shared" si="13"/>
        <v>62</v>
      </c>
      <c r="B78" s="6" t="s">
        <v>203</v>
      </c>
      <c r="C78" s="5">
        <f t="shared" si="7"/>
        <v>-247087.05</v>
      </c>
      <c r="D78" s="5">
        <f t="shared" si="8"/>
        <v>-156106.65</v>
      </c>
      <c r="E78" s="5"/>
      <c r="F78" s="5"/>
      <c r="G78" s="5">
        <f t="shared" si="9"/>
        <v>-201597</v>
      </c>
      <c r="H78" s="5"/>
      <c r="I78" s="5">
        <f t="shared" si="10"/>
        <v>-154664.825</v>
      </c>
      <c r="J78" s="5">
        <f t="shared" si="11"/>
        <v>-18019.75</v>
      </c>
      <c r="K78" s="5">
        <f t="shared" si="12"/>
        <v>-28912.275</v>
      </c>
      <c r="L78" s="5"/>
      <c r="M78" s="5">
        <v>-199131.8</v>
      </c>
      <c r="N78" s="5">
        <v>-11405.45</v>
      </c>
      <c r="O78" s="5">
        <v>-36549.8</v>
      </c>
      <c r="P78" s="5"/>
      <c r="Q78" s="5">
        <v>-110197.85</v>
      </c>
      <c r="R78" s="5">
        <v>-24634.05</v>
      </c>
      <c r="S78" s="5">
        <v>-21274.75</v>
      </c>
      <c r="T78" s="5"/>
      <c r="U78" s="5"/>
      <c r="V78" s="5"/>
      <c r="W78" s="5"/>
      <c r="X78" s="5"/>
      <c r="Y78" s="5"/>
    </row>
    <row r="79" spans="1:25" ht="12.75">
      <c r="A79" s="37">
        <f t="shared" si="13"/>
        <v>63</v>
      </c>
      <c r="B79" s="6" t="s">
        <v>105</v>
      </c>
      <c r="C79" s="5">
        <f t="shared" si="7"/>
        <v>26665311.4</v>
      </c>
      <c r="D79" s="5">
        <f t="shared" si="8"/>
        <v>17932491.85</v>
      </c>
      <c r="E79" s="5"/>
      <c r="F79" s="5"/>
      <c r="G79" s="5">
        <f t="shared" si="9"/>
        <v>22298902</v>
      </c>
      <c r="H79" s="5"/>
      <c r="I79" s="5">
        <f t="shared" si="10"/>
        <v>14718178.825</v>
      </c>
      <c r="J79" s="5">
        <f t="shared" si="11"/>
        <v>3264450.0000000005</v>
      </c>
      <c r="K79" s="5">
        <f t="shared" si="12"/>
        <v>4316272.8</v>
      </c>
      <c r="L79" s="5"/>
      <c r="M79" s="5">
        <f>8402696.05+5042013.55-9595536.65+14297481.45+802411.4</f>
        <v>18949065.799999997</v>
      </c>
      <c r="N79" s="5">
        <f>-2064282.15+5328732.15</f>
        <v>3264450.0000000005</v>
      </c>
      <c r="O79" s="5">
        <f>-11403286.65+11403286.65-3186786.75+7638582.35</f>
        <v>4451795.6</v>
      </c>
      <c r="P79" s="5"/>
      <c r="Q79" s="5">
        <f>4982935.65-7825041.35+12526986.15+802411.4</f>
        <v>10487291.850000001</v>
      </c>
      <c r="R79" s="5">
        <f>-1407878.15+4672328.15</f>
        <v>3264450.0000000005</v>
      </c>
      <c r="S79" s="5">
        <f>-2401096.95+6581846.95</f>
        <v>4180750</v>
      </c>
      <c r="T79" s="5"/>
      <c r="U79" s="5"/>
      <c r="V79" s="5"/>
      <c r="W79" s="5"/>
      <c r="X79" s="5"/>
      <c r="Y79" s="5"/>
    </row>
    <row r="80" spans="1:25" ht="12.75">
      <c r="A80" s="37">
        <f t="shared" si="13"/>
        <v>64</v>
      </c>
      <c r="B80" s="6" t="s">
        <v>204</v>
      </c>
      <c r="C80" s="5">
        <f t="shared" si="7"/>
        <v>-783321</v>
      </c>
      <c r="D80" s="5">
        <f t="shared" si="8"/>
        <v>-689976</v>
      </c>
      <c r="E80" s="5"/>
      <c r="F80" s="5"/>
      <c r="G80" s="5">
        <f t="shared" si="9"/>
        <v>-736649</v>
      </c>
      <c r="H80" s="5"/>
      <c r="I80" s="5">
        <f t="shared" si="10"/>
        <v>-546563.15</v>
      </c>
      <c r="J80" s="5">
        <f t="shared" si="11"/>
        <v>0</v>
      </c>
      <c r="K80" s="5">
        <f t="shared" si="12"/>
        <v>-190085.34999999998</v>
      </c>
      <c r="L80" s="5"/>
      <c r="M80" s="5">
        <f>-962030.65+368795</f>
        <v>-593235.65</v>
      </c>
      <c r="N80" s="5">
        <v>0</v>
      </c>
      <c r="O80" s="5">
        <f>-315488.35+125403</f>
        <v>-190085.34999999998</v>
      </c>
      <c r="P80" s="5"/>
      <c r="Q80" s="5">
        <f>-868685.65+368795</f>
        <v>-499890.65</v>
      </c>
      <c r="R80" s="5">
        <v>0</v>
      </c>
      <c r="S80" s="5">
        <f>-315488.35+125403</f>
        <v>-190085.34999999998</v>
      </c>
      <c r="T80" s="5"/>
      <c r="U80" s="5"/>
      <c r="V80" s="5"/>
      <c r="W80" s="5"/>
      <c r="X80" s="5"/>
      <c r="Y80" s="5"/>
    </row>
    <row r="81" spans="1:25" ht="12.75">
      <c r="A81" s="37">
        <f t="shared" si="13"/>
        <v>65</v>
      </c>
      <c r="B81" s="6" t="s">
        <v>205</v>
      </c>
      <c r="C81" s="5">
        <f aca="true" t="shared" si="14" ref="C81:C90">SUM(M81:O81)</f>
        <v>190085</v>
      </c>
      <c r="D81" s="5">
        <f aca="true" t="shared" si="15" ref="D81:D90">SUM(Q81:S81)</f>
        <v>203595</v>
      </c>
      <c r="E81" s="5"/>
      <c r="F81" s="5"/>
      <c r="G81" s="5">
        <f aca="true" t="shared" si="16" ref="G81:G99">ROUND(SUM(C81:F81)/2,0)</f>
        <v>196840</v>
      </c>
      <c r="H81" s="5"/>
      <c r="I81" s="5">
        <f aca="true" t="shared" si="17" ref="I81:I90">(+M81+Q81)/2</f>
        <v>6755</v>
      </c>
      <c r="J81" s="5">
        <f aca="true" t="shared" si="18" ref="J81:J90">(+N81+R81)/2</f>
        <v>0</v>
      </c>
      <c r="K81" s="5">
        <f aca="true" t="shared" si="19" ref="K81:K90">(+O81+S81)/2</f>
        <v>190085</v>
      </c>
      <c r="L81" s="5"/>
      <c r="M81" s="5">
        <f>-40600+40600</f>
        <v>0</v>
      </c>
      <c r="N81" s="5">
        <v>0</v>
      </c>
      <c r="O81" s="5">
        <f>149485+40600</f>
        <v>190085</v>
      </c>
      <c r="P81" s="5"/>
      <c r="Q81" s="5">
        <f>-27090+40600</f>
        <v>13510</v>
      </c>
      <c r="R81" s="5">
        <v>0</v>
      </c>
      <c r="S81" s="5">
        <f>149485+40600</f>
        <v>190085</v>
      </c>
      <c r="T81" s="5"/>
      <c r="U81" s="5"/>
      <c r="V81" s="5"/>
      <c r="W81" s="5"/>
      <c r="X81" s="5"/>
      <c r="Y81" s="5"/>
    </row>
    <row r="82" spans="1:25" ht="12.75">
      <c r="A82" s="37">
        <f aca="true" t="shared" si="20" ref="A82:A101">A81+1</f>
        <v>66</v>
      </c>
      <c r="B82" s="6" t="s">
        <v>206</v>
      </c>
      <c r="C82" s="5">
        <f t="shared" si="14"/>
        <v>-780606.7999999999</v>
      </c>
      <c r="D82" s="5">
        <f t="shared" si="15"/>
        <v>1064094.0999999999</v>
      </c>
      <c r="E82" s="5"/>
      <c r="F82" s="5"/>
      <c r="G82" s="5">
        <f t="shared" si="16"/>
        <v>141744</v>
      </c>
      <c r="H82" s="5"/>
      <c r="I82" s="5">
        <f t="shared" si="17"/>
        <v>62543.47499999998</v>
      </c>
      <c r="J82" s="5">
        <f t="shared" si="18"/>
        <v>49743.600000000006</v>
      </c>
      <c r="K82" s="5">
        <f t="shared" si="19"/>
        <v>29456.57500000001</v>
      </c>
      <c r="L82" s="5"/>
      <c r="M82" s="5">
        <f>-1142610.7+369030.6</f>
        <v>-773580.1</v>
      </c>
      <c r="N82" s="5">
        <f>-468293.35+468156</f>
        <v>-137.34999999997672</v>
      </c>
      <c r="O82" s="5">
        <f>-773465.35+766576</f>
        <v>-6889.349999999977</v>
      </c>
      <c r="P82" s="5"/>
      <c r="Q82" s="5">
        <f>529636.45+369030.6</f>
        <v>898667.0499999999</v>
      </c>
      <c r="R82" s="5">
        <f>-368531.45+468156</f>
        <v>99624.54999999999</v>
      </c>
      <c r="S82" s="5">
        <f>-700773.5+766576</f>
        <v>65802.5</v>
      </c>
      <c r="T82" s="5"/>
      <c r="U82" s="5"/>
      <c r="V82" s="5"/>
      <c r="W82" s="5"/>
      <c r="X82" s="5"/>
      <c r="Y82" s="5"/>
    </row>
    <row r="83" spans="1:25" ht="12.75">
      <c r="A83" s="37">
        <f t="shared" si="20"/>
        <v>67</v>
      </c>
      <c r="B83" s="6" t="s">
        <v>207</v>
      </c>
      <c r="C83" s="5">
        <f t="shared" si="14"/>
        <v>199212.65</v>
      </c>
      <c r="D83" s="5">
        <f t="shared" si="15"/>
        <v>528359.65</v>
      </c>
      <c r="E83" s="5"/>
      <c r="F83" s="5"/>
      <c r="G83" s="5">
        <f t="shared" si="16"/>
        <v>363786</v>
      </c>
      <c r="H83" s="5"/>
      <c r="I83" s="5">
        <f t="shared" si="17"/>
        <v>260929.375</v>
      </c>
      <c r="J83" s="5">
        <f t="shared" si="18"/>
        <v>37978.85</v>
      </c>
      <c r="K83" s="5">
        <f t="shared" si="19"/>
        <v>64877.925</v>
      </c>
      <c r="L83" s="5"/>
      <c r="M83" s="5">
        <f>157284.75</f>
        <v>157284.75</v>
      </c>
      <c r="N83" s="5">
        <f>10169.25</f>
        <v>10169.25</v>
      </c>
      <c r="O83" s="5">
        <v>31758.65</v>
      </c>
      <c r="P83" s="5"/>
      <c r="Q83" s="5">
        <v>364574</v>
      </c>
      <c r="R83" s="5">
        <v>65788.45</v>
      </c>
      <c r="S83" s="5">
        <v>97997.2</v>
      </c>
      <c r="T83" s="5"/>
      <c r="U83" s="5"/>
      <c r="V83" s="5"/>
      <c r="W83" s="5"/>
      <c r="X83" s="5"/>
      <c r="Y83" s="5"/>
    </row>
    <row r="84" spans="1:25" ht="12.75">
      <c r="A84" s="37">
        <f t="shared" si="20"/>
        <v>68</v>
      </c>
      <c r="B84" s="6" t="s">
        <v>208</v>
      </c>
      <c r="C84" s="5">
        <f t="shared" si="14"/>
        <v>0</v>
      </c>
      <c r="D84" s="5">
        <f t="shared" si="15"/>
        <v>0</v>
      </c>
      <c r="E84" s="5"/>
      <c r="F84" s="5"/>
      <c r="G84" s="5">
        <f t="shared" si="16"/>
        <v>0</v>
      </c>
      <c r="H84" s="5"/>
      <c r="I84" s="5">
        <f t="shared" si="17"/>
        <v>0</v>
      </c>
      <c r="J84" s="5">
        <f t="shared" si="18"/>
        <v>0</v>
      </c>
      <c r="K84" s="5">
        <f t="shared" si="19"/>
        <v>0</v>
      </c>
      <c r="L84" s="5"/>
      <c r="M84" s="5">
        <v>0</v>
      </c>
      <c r="N84" s="5">
        <v>0</v>
      </c>
      <c r="O84" s="5">
        <v>0</v>
      </c>
      <c r="P84" s="5"/>
      <c r="Q84" s="5">
        <v>0</v>
      </c>
      <c r="R84" s="5">
        <v>0</v>
      </c>
      <c r="S84" s="5">
        <v>0</v>
      </c>
      <c r="T84" s="5"/>
      <c r="U84" s="5"/>
      <c r="V84" s="5"/>
      <c r="W84" s="5"/>
      <c r="X84" s="5"/>
      <c r="Y84" s="5"/>
    </row>
    <row r="85" spans="1:25" ht="12.75">
      <c r="A85" s="37">
        <f t="shared" si="20"/>
        <v>69</v>
      </c>
      <c r="B85" s="6" t="s">
        <v>209</v>
      </c>
      <c r="C85" s="5">
        <f t="shared" si="14"/>
        <v>0.1</v>
      </c>
      <c r="D85" s="5">
        <f t="shared" si="15"/>
        <v>0.1</v>
      </c>
      <c r="E85" s="5"/>
      <c r="F85" s="5"/>
      <c r="G85" s="5">
        <f t="shared" si="16"/>
        <v>0</v>
      </c>
      <c r="H85" s="5"/>
      <c r="I85" s="5">
        <f t="shared" si="17"/>
        <v>0</v>
      </c>
      <c r="J85" s="5">
        <f t="shared" si="18"/>
        <v>0</v>
      </c>
      <c r="K85" s="5">
        <f t="shared" si="19"/>
        <v>0.1</v>
      </c>
      <c r="L85" s="5"/>
      <c r="M85" s="5">
        <v>0</v>
      </c>
      <c r="N85" s="5">
        <v>0</v>
      </c>
      <c r="O85" s="5">
        <v>0.1</v>
      </c>
      <c r="P85" s="5"/>
      <c r="Q85" s="5">
        <v>0</v>
      </c>
      <c r="R85" s="5">
        <v>0</v>
      </c>
      <c r="S85" s="5">
        <v>0.1</v>
      </c>
      <c r="T85" s="5"/>
      <c r="U85" s="5"/>
      <c r="V85" s="5"/>
      <c r="W85" s="5"/>
      <c r="X85" s="5"/>
      <c r="Y85" s="5"/>
    </row>
    <row r="86" spans="1:25" ht="12.75">
      <c r="A86" s="37">
        <f t="shared" si="20"/>
        <v>70</v>
      </c>
      <c r="B86" s="6" t="s">
        <v>210</v>
      </c>
      <c r="C86" s="5">
        <f t="shared" si="14"/>
        <v>89807.5</v>
      </c>
      <c r="D86" s="5">
        <f t="shared" si="15"/>
        <v>89807.5</v>
      </c>
      <c r="E86" s="5"/>
      <c r="F86" s="5"/>
      <c r="G86" s="5">
        <f t="shared" si="16"/>
        <v>89808</v>
      </c>
      <c r="H86" s="5"/>
      <c r="I86" s="5">
        <f t="shared" si="17"/>
        <v>0</v>
      </c>
      <c r="J86" s="5">
        <f t="shared" si="18"/>
        <v>0</v>
      </c>
      <c r="K86" s="5">
        <f t="shared" si="19"/>
        <v>89807.5</v>
      </c>
      <c r="L86" s="5"/>
      <c r="M86" s="5">
        <v>0</v>
      </c>
      <c r="N86" s="5">
        <v>0</v>
      </c>
      <c r="O86" s="5">
        <v>89807.5</v>
      </c>
      <c r="P86" s="5"/>
      <c r="Q86" s="5">
        <v>0</v>
      </c>
      <c r="R86" s="5">
        <v>0</v>
      </c>
      <c r="S86" s="5">
        <v>89807.5</v>
      </c>
      <c r="T86" s="5"/>
      <c r="U86" s="5"/>
      <c r="V86" s="5"/>
      <c r="W86" s="5"/>
      <c r="X86" s="5"/>
      <c r="Y86" s="5"/>
    </row>
    <row r="87" spans="1:25" ht="12.75">
      <c r="A87" s="37">
        <f t="shared" si="20"/>
        <v>71</v>
      </c>
      <c r="B87" s="6" t="s">
        <v>211</v>
      </c>
      <c r="C87" s="5">
        <f t="shared" si="14"/>
        <v>1557472.2</v>
      </c>
      <c r="D87" s="5">
        <f t="shared" si="15"/>
        <v>1631236.8</v>
      </c>
      <c r="E87" s="5"/>
      <c r="F87" s="5"/>
      <c r="G87" s="5">
        <f t="shared" si="16"/>
        <v>1594355</v>
      </c>
      <c r="H87" s="5"/>
      <c r="I87" s="5">
        <f t="shared" si="17"/>
        <v>0</v>
      </c>
      <c r="J87" s="5">
        <f t="shared" si="18"/>
        <v>0</v>
      </c>
      <c r="K87" s="5">
        <f t="shared" si="19"/>
        <v>1594354.5</v>
      </c>
      <c r="L87" s="5"/>
      <c r="M87" s="5">
        <v>0</v>
      </c>
      <c r="N87" s="5">
        <v>0</v>
      </c>
      <c r="O87" s="5">
        <v>1557472.2</v>
      </c>
      <c r="P87" s="5"/>
      <c r="Q87" s="5">
        <v>0</v>
      </c>
      <c r="R87" s="5">
        <v>0</v>
      </c>
      <c r="S87" s="5">
        <v>1631236.8</v>
      </c>
      <c r="T87" s="5"/>
      <c r="U87" s="5"/>
      <c r="V87" s="5"/>
      <c r="W87" s="5"/>
      <c r="X87" s="5"/>
      <c r="Y87" s="5"/>
    </row>
    <row r="88" spans="1:25" ht="12.75">
      <c r="A88" s="37">
        <f t="shared" si="20"/>
        <v>72</v>
      </c>
      <c r="B88" s="6" t="s">
        <v>212</v>
      </c>
      <c r="C88" s="5">
        <f t="shared" si="14"/>
        <v>670845</v>
      </c>
      <c r="D88" s="5">
        <f t="shared" si="15"/>
        <v>670845</v>
      </c>
      <c r="E88" s="5"/>
      <c r="F88" s="5"/>
      <c r="G88" s="5">
        <f t="shared" si="16"/>
        <v>670845</v>
      </c>
      <c r="H88" s="5"/>
      <c r="I88" s="5">
        <f t="shared" si="17"/>
        <v>0</v>
      </c>
      <c r="J88" s="5">
        <f t="shared" si="18"/>
        <v>0</v>
      </c>
      <c r="K88" s="5">
        <f t="shared" si="19"/>
        <v>670845</v>
      </c>
      <c r="L88" s="5"/>
      <c r="M88" s="5">
        <v>0</v>
      </c>
      <c r="N88" s="5">
        <v>0</v>
      </c>
      <c r="O88" s="5">
        <v>670845</v>
      </c>
      <c r="P88" s="5"/>
      <c r="Q88" s="5">
        <v>0</v>
      </c>
      <c r="R88" s="5">
        <v>0</v>
      </c>
      <c r="S88" s="5">
        <v>670845</v>
      </c>
      <c r="T88" s="5"/>
      <c r="U88" s="5"/>
      <c r="V88" s="5"/>
      <c r="W88" s="5"/>
      <c r="X88" s="5"/>
      <c r="Y88" s="5"/>
    </row>
    <row r="89" spans="1:25" ht="12.75">
      <c r="A89" s="37">
        <f t="shared" si="20"/>
        <v>73</v>
      </c>
      <c r="B89" s="6" t="s">
        <v>213</v>
      </c>
      <c r="C89" s="5">
        <f t="shared" si="14"/>
        <v>2777304.68</v>
      </c>
      <c r="D89" s="5">
        <f t="shared" si="15"/>
        <v>-467130.22</v>
      </c>
      <c r="E89" s="5"/>
      <c r="F89" s="5"/>
      <c r="G89" s="5">
        <f t="shared" si="16"/>
        <v>1155087</v>
      </c>
      <c r="H89" s="5"/>
      <c r="I89" s="5">
        <f t="shared" si="17"/>
        <v>1175588.3150000002</v>
      </c>
      <c r="J89" s="5">
        <f t="shared" si="18"/>
        <v>0</v>
      </c>
      <c r="K89" s="5">
        <f t="shared" si="19"/>
        <v>-20501.085</v>
      </c>
      <c r="L89" s="5"/>
      <c r="M89" s="5">
        <v>2801716.49</v>
      </c>
      <c r="N89" s="5">
        <v>0</v>
      </c>
      <c r="O89" s="5">
        <v>-24411.81</v>
      </c>
      <c r="P89" s="5"/>
      <c r="Q89" s="5">
        <v>-450539.86</v>
      </c>
      <c r="R89" s="5">
        <v>0</v>
      </c>
      <c r="S89" s="5">
        <v>-16590.36</v>
      </c>
      <c r="T89" s="5"/>
      <c r="U89" s="5"/>
      <c r="V89" s="5"/>
      <c r="W89" s="5"/>
      <c r="X89" s="5"/>
      <c r="Y89" s="5"/>
    </row>
    <row r="90" spans="1:25" ht="12.75">
      <c r="A90" s="37">
        <f t="shared" si="20"/>
        <v>74</v>
      </c>
      <c r="B90" s="6" t="s">
        <v>214</v>
      </c>
      <c r="C90" s="5">
        <f t="shared" si="14"/>
        <v>15842087</v>
      </c>
      <c r="D90" s="5">
        <f t="shared" si="15"/>
        <v>0</v>
      </c>
      <c r="E90" s="5"/>
      <c r="F90" s="5"/>
      <c r="G90" s="5">
        <f t="shared" si="16"/>
        <v>7921044</v>
      </c>
      <c r="H90" s="5"/>
      <c r="I90" s="5">
        <f t="shared" si="17"/>
        <v>7583281.5</v>
      </c>
      <c r="J90" s="5">
        <f t="shared" si="18"/>
        <v>260792</v>
      </c>
      <c r="K90" s="5">
        <f t="shared" si="19"/>
        <v>76970</v>
      </c>
      <c r="L90" s="5"/>
      <c r="M90" s="5">
        <v>15166563</v>
      </c>
      <c r="N90" s="5">
        <v>521584</v>
      </c>
      <c r="O90" s="5">
        <v>153940</v>
      </c>
      <c r="P90" s="5"/>
      <c r="Q90" s="5">
        <v>0</v>
      </c>
      <c r="R90" s="5">
        <v>0</v>
      </c>
      <c r="S90" s="5">
        <v>0</v>
      </c>
      <c r="T90" s="5"/>
      <c r="U90" s="5"/>
      <c r="V90" s="5"/>
      <c r="W90" s="5"/>
      <c r="X90" s="5"/>
      <c r="Y90" s="5"/>
    </row>
    <row r="91" spans="1:25" ht="12.75">
      <c r="A91" s="37">
        <f t="shared" si="20"/>
        <v>75</v>
      </c>
      <c r="B91" s="5"/>
      <c r="C91" s="5"/>
      <c r="D91" s="5"/>
      <c r="E91" s="5"/>
      <c r="F91" s="5"/>
      <c r="G91" s="5">
        <f t="shared" si="16"/>
        <v>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>
      <c r="A92" s="37">
        <f t="shared" si="20"/>
        <v>76</v>
      </c>
      <c r="B92" s="5" t="s">
        <v>25</v>
      </c>
      <c r="C92" s="5">
        <v>9286801.84</v>
      </c>
      <c r="D92" s="5">
        <v>8016732.37</v>
      </c>
      <c r="E92" s="5">
        <f aca="true" t="shared" si="21" ref="E92:F99">-C92</f>
        <v>-9286801.84</v>
      </c>
      <c r="F92" s="5">
        <f t="shared" si="21"/>
        <v>-8016732.37</v>
      </c>
      <c r="G92" s="5">
        <f t="shared" si="16"/>
        <v>0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>
      <c r="A93" s="37">
        <f t="shared" si="20"/>
        <v>77</v>
      </c>
      <c r="B93" s="5" t="s">
        <v>215</v>
      </c>
      <c r="C93" s="5">
        <v>84149404.58</v>
      </c>
      <c r="D93" s="5">
        <v>74202737.78</v>
      </c>
      <c r="E93" s="5">
        <f t="shared" si="21"/>
        <v>-84149404.58</v>
      </c>
      <c r="F93" s="5">
        <f t="shared" si="21"/>
        <v>-74202737.78</v>
      </c>
      <c r="G93" s="5">
        <f t="shared" si="16"/>
        <v>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>
      <c r="A94" s="37">
        <f t="shared" si="20"/>
        <v>78</v>
      </c>
      <c r="B94" s="5" t="s">
        <v>216</v>
      </c>
      <c r="C94" s="5">
        <v>1247765.08</v>
      </c>
      <c r="D94" s="5">
        <v>1372545.46</v>
      </c>
      <c r="E94" s="5">
        <f t="shared" si="21"/>
        <v>-1247765.08</v>
      </c>
      <c r="F94" s="5">
        <f t="shared" si="21"/>
        <v>-1372545.46</v>
      </c>
      <c r="G94" s="5">
        <f t="shared" si="16"/>
        <v>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>
      <c r="A95" s="37">
        <f t="shared" si="20"/>
        <v>79</v>
      </c>
      <c r="B95" s="5" t="s">
        <v>217</v>
      </c>
      <c r="C95" s="5">
        <v>855471</v>
      </c>
      <c r="D95" s="5">
        <v>263925.15</v>
      </c>
      <c r="E95" s="5">
        <f t="shared" si="21"/>
        <v>-855471</v>
      </c>
      <c r="F95" s="5">
        <f t="shared" si="21"/>
        <v>-263925.15</v>
      </c>
      <c r="G95" s="5">
        <f t="shared" si="16"/>
        <v>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>
      <c r="A96" s="37">
        <f t="shared" si="20"/>
        <v>80</v>
      </c>
      <c r="B96" s="6" t="s">
        <v>218</v>
      </c>
      <c r="C96" s="5">
        <v>20678221</v>
      </c>
      <c r="D96" s="5">
        <v>16717556.67</v>
      </c>
      <c r="E96" s="5">
        <f t="shared" si="21"/>
        <v>-20678221</v>
      </c>
      <c r="F96" s="5">
        <f t="shared" si="21"/>
        <v>-16717556.67</v>
      </c>
      <c r="G96" s="5">
        <f t="shared" si="16"/>
        <v>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>
      <c r="A97" s="37">
        <f t="shared" si="20"/>
        <v>81</v>
      </c>
      <c r="B97" s="6" t="s">
        <v>219</v>
      </c>
      <c r="C97" s="5">
        <v>5040941</v>
      </c>
      <c r="D97" s="5">
        <v>6161052.38</v>
      </c>
      <c r="E97" s="5">
        <f t="shared" si="21"/>
        <v>-5040941</v>
      </c>
      <c r="F97" s="5">
        <f t="shared" si="21"/>
        <v>-6161052.38</v>
      </c>
      <c r="G97" s="5">
        <f t="shared" si="16"/>
        <v>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>
      <c r="A98" s="37">
        <f t="shared" si="20"/>
        <v>82</v>
      </c>
      <c r="B98" s="6" t="s">
        <v>220</v>
      </c>
      <c r="C98" s="5">
        <v>85423</v>
      </c>
      <c r="D98" s="5">
        <v>89694.36</v>
      </c>
      <c r="E98" s="5">
        <f t="shared" si="21"/>
        <v>-85423</v>
      </c>
      <c r="F98" s="5">
        <f t="shared" si="21"/>
        <v>-89694.36</v>
      </c>
      <c r="G98" s="5">
        <f t="shared" si="16"/>
        <v>0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>
      <c r="A99" s="37">
        <f t="shared" si="20"/>
        <v>83</v>
      </c>
      <c r="B99" s="6" t="s">
        <v>221</v>
      </c>
      <c r="C99" s="5">
        <v>73799754.95</v>
      </c>
      <c r="D99" s="5">
        <v>28900821.95</v>
      </c>
      <c r="E99" s="5">
        <f t="shared" si="21"/>
        <v>-73799754.95</v>
      </c>
      <c r="F99" s="5">
        <f t="shared" si="21"/>
        <v>-28900821.95</v>
      </c>
      <c r="G99" s="5">
        <f t="shared" si="16"/>
        <v>0</v>
      </c>
      <c r="H99" s="5"/>
      <c r="I99" s="5">
        <f>(+M99+Q99)/2</f>
        <v>51350288.45</v>
      </c>
      <c r="J99" s="5">
        <f>(+N99+R99)/2</f>
        <v>0</v>
      </c>
      <c r="K99" s="5">
        <f>(+O99+S99)/2</f>
        <v>0</v>
      </c>
      <c r="L99" s="5"/>
      <c r="M99" s="5">
        <v>73799754.95</v>
      </c>
      <c r="N99" s="5">
        <v>0</v>
      </c>
      <c r="O99" s="5">
        <v>0</v>
      </c>
      <c r="P99" s="5"/>
      <c r="Q99" s="5">
        <v>28900821.95</v>
      </c>
      <c r="R99" s="5">
        <v>0</v>
      </c>
      <c r="S99" s="5">
        <v>0</v>
      </c>
      <c r="T99" s="5"/>
      <c r="U99" s="5"/>
      <c r="V99" s="5"/>
      <c r="W99" s="5"/>
      <c r="X99" s="5"/>
      <c r="Y99" s="5"/>
    </row>
    <row r="100" spans="1:25" ht="12.75">
      <c r="A100" s="37">
        <f t="shared" si="20"/>
        <v>84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3.5" thickBot="1">
      <c r="A101" s="37">
        <f t="shared" si="20"/>
        <v>85</v>
      </c>
      <c r="B101" s="6" t="s">
        <v>222</v>
      </c>
      <c r="C101" s="17">
        <f>SUM(C17:C100)</f>
        <v>571363450.7699999</v>
      </c>
      <c r="D101" s="17">
        <f>SUM(D17:D100)</f>
        <v>399309336.59999996</v>
      </c>
      <c r="E101" s="17">
        <f>SUM(E17:E100)</f>
        <v>-195143782.45</v>
      </c>
      <c r="F101" s="17">
        <f>SUM(F17:F100)</f>
        <v>-135725066.12</v>
      </c>
      <c r="G101" s="17">
        <f>SUM(G17:G100)</f>
        <v>319901970</v>
      </c>
      <c r="H101" s="17"/>
      <c r="I101" s="17">
        <f>SUM(I17:I100)</f>
        <v>235341509.70999992</v>
      </c>
      <c r="J101" s="17">
        <f>SUM(J17:J100)</f>
        <v>48316470.305</v>
      </c>
      <c r="K101" s="17">
        <f>SUM(K17:K100)</f>
        <v>87594277.835</v>
      </c>
      <c r="L101" s="17"/>
      <c r="M101" s="17">
        <f>SUM(M17:M100)</f>
        <v>307110495.74999994</v>
      </c>
      <c r="N101" s="17">
        <f>SUM(N17:N100)</f>
        <v>49661475.199999996</v>
      </c>
      <c r="O101" s="17">
        <f>SUM(O17:O100)</f>
        <v>93247452.32000002</v>
      </c>
      <c r="P101" s="5"/>
      <c r="Q101" s="17">
        <f>SUM(Q17:Q100)</f>
        <v>163572523.67</v>
      </c>
      <c r="R101" s="17">
        <f>SUM(R17:R100)</f>
        <v>46971465.41000001</v>
      </c>
      <c r="S101" s="17">
        <f>SUM(S17:S100)</f>
        <v>81941103.35000001</v>
      </c>
      <c r="T101" s="5"/>
      <c r="U101" s="5"/>
      <c r="V101" s="5"/>
      <c r="W101" s="5"/>
      <c r="X101" s="5"/>
      <c r="Y101" s="5"/>
    </row>
    <row r="102" spans="1:25" ht="13.5" thickTop="1">
      <c r="A102" s="36"/>
      <c r="B102" s="5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5"/>
      <c r="Q102" s="18"/>
      <c r="R102" s="18"/>
      <c r="S102" s="18"/>
      <c r="T102" s="5"/>
      <c r="U102" s="5"/>
      <c r="V102" s="5"/>
      <c r="W102" s="5"/>
      <c r="X102" s="5"/>
      <c r="Y102" s="5"/>
    </row>
    <row r="103" spans="1:25" ht="12.75">
      <c r="A103" s="36"/>
      <c r="B103" s="5"/>
      <c r="C103" s="5"/>
      <c r="D103" s="5" t="s">
        <v>24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>
      <c r="A104" s="3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>
      <c r="A105" s="36"/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>
      <c r="A106" s="36"/>
      <c r="B106" s="5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>
      <c r="A107" s="36"/>
      <c r="B107" s="5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>
      <c r="A108" s="36"/>
      <c r="B108" s="5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>
      <c r="A109" s="36"/>
      <c r="B109" s="5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>
      <c r="A110" s="3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2:25" ht="12.75">
      <c r="B111" s="5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2:2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2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2:2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2:2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2:2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2:2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2:2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2:2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2:2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2:2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2:2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2:2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2:2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2:2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2:2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2:2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2:2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2:2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2:2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2:2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2:2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2:2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2:2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2:2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2:2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2:2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2:2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2:2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2:2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2:2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2:2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2:2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2:2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2:2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2:2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2:2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2:2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2:2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2:2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2:2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2:2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2:2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2:2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2:2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2:2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2:2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2:2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2:2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2:2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2:2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2:2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2:2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2:2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2:2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2:2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2:2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2:2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2:2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2:2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2:2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2:2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2:2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2:2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2:2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2:2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2:2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2:2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2:2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2:2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2:2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2:2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2:2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2:2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2:2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2:2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2:2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2:2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2:2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2:25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2:25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2:25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2:2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2:2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2:25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2:25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2:25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2:25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2:25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2:25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2:25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2:25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2:25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2:25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2:25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2:25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2:25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2:25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2:25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2:25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2:2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2:2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2:2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2:2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2:2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2:2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2:2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2:2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2:2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2:2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2:2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2:2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2:25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2:25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2:25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2:25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2:25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2:25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2:25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2:25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2:25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2:25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2:25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2:25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2:25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2:25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2:25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2:25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2:25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2:25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2:25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2:25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2:25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2:25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2:25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2:25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2:25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2:25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2:25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2:25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2:25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2:25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2:25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2:25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2:25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2:25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2:25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2:2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2:25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2:25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2:25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2:25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2:25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2:25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2:25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2:25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2:25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2:25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2:25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2:25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2:25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2:25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2:25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2:25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2:25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2:25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2:2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2:2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2:25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2:25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2:25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2:25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2:25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2:25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2:25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2:25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2:25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2:25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2:25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2:25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2:25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2:25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2:25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2:25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2:25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2:25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2:25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2:25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2:25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2:25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2:25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2:25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2:25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2:25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2:25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2:25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2:25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2:25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2:2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2:2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2:25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2:25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2:25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2:25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2:25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2:25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2:25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2:25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2:25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2:25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2:25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2:25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2:25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2:25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2:25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2:25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2:25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2:25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2:25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2:25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2:25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2:25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2:25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2:25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2:25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2:25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2:25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2:25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2:25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2:25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2:25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2:25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2:25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2:25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2:25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2:25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2:25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2:25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2:25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2:25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2:25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2:25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2:25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2:25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2:25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2:25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2:25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2:25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2:25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2:25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2:25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2:25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2:25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2:25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2:25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2:25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2:25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2:25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2:25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2:2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2:2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2:25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2:25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2:25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2:25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2:25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2:25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2:25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2:25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2:25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2:25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2:25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2:25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2:25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2:25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2:25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2:25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2:25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2:25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2:25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2:25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2:25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2:2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2:2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2:2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2:25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2:25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2:25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2:25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2:25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2:25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2:25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2:25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2:25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2:25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2:25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2:25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2:25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2:25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2:25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2:25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2:25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2:25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2:25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2:25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2:25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2:25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2:25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2:25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2:25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2:25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2:25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2:25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2:25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2:25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2:25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2:25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2:25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2:25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2:25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2:25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2:25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2:25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2:25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2:2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2:25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2:25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2:25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2:25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2:25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2:25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2:25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2:25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2:25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2:25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2:25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2:25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2:25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2:2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2:2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2:25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2:25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2:25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2:25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2:25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2:25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2:25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2:25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2:25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2:25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2:25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2:25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2:2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2:2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2:25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2:25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2:25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2:25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2:25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2:25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2:2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2:2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2:2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2:2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2:2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2:25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2:25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2:25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2:25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2:25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2:25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2:25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2:25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2:25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2:25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2:25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2:25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2:25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2:25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2:25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2:25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2:25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2:25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2:25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2:25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2:25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2:25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2:25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2:25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2:25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2:25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2:25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2:25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2:25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2:25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2:25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2:25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2:25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2:25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2:25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2:25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2:25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2:25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2:25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2:25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2:25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2:25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2:25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2:25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2:25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2:25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2:25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2:25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2:25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2:25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2:25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2:25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2:25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2:25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2:25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2:25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2:25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2:25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2:25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2:25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2:25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2:25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2:25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2:25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2:25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2:25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2:25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2:25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2:25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2:25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2:25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2:25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2:25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2:25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2:25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2:25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2:25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2:25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2:25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2:25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2:25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2:25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2:25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2:25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2:25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2:25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2:25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2:25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2:25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2:25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2:25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2:25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2:25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2:25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2:25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2:25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2:25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2:25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2:25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2:25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2:25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2:25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2:25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2:25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2:25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2:25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2:25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2:25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2:25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2:25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2:25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2:25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2:25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2:25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2:25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2:25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2:25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2:25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2:25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2:25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2:25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2:25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2:25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2:25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2:25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2:25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2:25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2:25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2:25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2:25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2:25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2:25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2:25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2:25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2:25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2:25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2:25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2:25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2:25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2:25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2:25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2:25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2:25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2:25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2:25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2:25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2:25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2:25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2:25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2:25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2:25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2:25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2:25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2:25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2:25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2:25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2:25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2:25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2:25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2:25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2:25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2:25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2:25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2:25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2:25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2:25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2:25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2:25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2:25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2:25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2:25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2:25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2:25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2:25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2:25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2:25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2:25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2:25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2:25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2:25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2:25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2:25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2:25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2:25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2:25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2:25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2:25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2:25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2:25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2:25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2:25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2:25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2:25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2:25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2:25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2:25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2:25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2:25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2:25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2:25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2:25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2:25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2:25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2:25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2:25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2:25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2:25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2:25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2:25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2:25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2:25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2:25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2:25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2:25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2:25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2:25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2:25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2:25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2:25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2:25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2:25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2:25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2:25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2:25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2:25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2:25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2:25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2:25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2:25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2:25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2:25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2:25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2:25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2:25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2:25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2:25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2:25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2:25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2:25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2:25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2:25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2:25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2:25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2:25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2:25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2:25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2:25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2:25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2:25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2:25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2:25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2:25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2:25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2:25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2:25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2:25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2:25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2:25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2:25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2:25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2:25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2:25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2:25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2:25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2:25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2:25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2:25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2:25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2:25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2:25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2:25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2:25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2:25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2:25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2:25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2:25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2:25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2:25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2:25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2:25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2:25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2:25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2:25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2:25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2:25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2:25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2:25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2:25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2:25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2:25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2:25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2:25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2:25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2:25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2:25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2:25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2:25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2:25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2:25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2:25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2:25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2:25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2:25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2:25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2:25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2:25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2:25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2:25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2:25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2:25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2:25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2:25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2:25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2:25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2:25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2:25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2:25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2:25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2:25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2:25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2:25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2:25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2:25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2:25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2:25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2:25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2:25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2:25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2:25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2:25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2:25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2:25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2:25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2:25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2:25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2:25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2:25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2:25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2:25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2:25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2:25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2:25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2:25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2:25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2:25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2:25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2:25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2:25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2:25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2:25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2:25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2:25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2:25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2:25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2:25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2:25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2:25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2:25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2:25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2:25" ht="12.7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2:25" ht="12.7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2:25" ht="12.7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2:25" ht="12.7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2:25" ht="12.7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2:25" ht="12.7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2:25" ht="12.7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2:25" ht="12.7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2:25" ht="12.7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2:25" ht="12.7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2:25" ht="12.7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2:25" ht="12.7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2:25" ht="12.7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2:25" ht="12.7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2:25" ht="12.7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2:25" ht="12.7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2:25" ht="12.7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2:25" ht="12.7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2:25" ht="12.7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2:25" ht="12.7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2:25" ht="12.7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2:25" ht="12.7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2:25" ht="12.7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2:25" ht="12.7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2:25" ht="12.7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2:25" ht="12.7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2:25" ht="12.7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2:25" ht="12.7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2:25" ht="12.7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2:25" ht="12.7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2:25" ht="12.7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2:25" ht="12.7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2:25" ht="12.7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2:25" ht="12.7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2:25" ht="12.7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2:25" ht="12.7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2:25" ht="12.7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2:25" ht="12.7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2:25" ht="12.7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2:25" ht="12.7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2:25" ht="12.7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2:25" ht="12.7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2:25" ht="12.7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2:25" ht="12.7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2:25" ht="12.7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2:25" ht="12.7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2:25" ht="12.7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2:25" ht="12.7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2:25" ht="12.7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2:25" ht="12.7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</sheetData>
  <sheetProtection/>
  <printOptions/>
  <pageMargins left="0.75" right="0.25" top="0.5" bottom="0.5" header="0.25" footer="0"/>
  <pageSetup horizontalDpi="600" verticalDpi="600" orientation="landscape" scale="61" r:id="rId1"/>
  <headerFooter alignWithMargins="0">
    <oddHeader>&amp;RSTATEMENT AG-3
PAGE &amp;P OF &amp;N</oddHeader>
  </headerFooter>
  <rowBreaks count="1" manualBreakCount="1">
    <brk id="5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73"/>
  <sheetViews>
    <sheetView showOutlineSymbols="0" workbookViewId="0" topLeftCell="A1">
      <selection activeCell="A1" sqref="A1"/>
    </sheetView>
  </sheetViews>
  <sheetFormatPr defaultColWidth="12.7109375" defaultRowHeight="12.75"/>
  <cols>
    <col min="1" max="1" width="4.7109375" style="7" customWidth="1"/>
    <col min="2" max="2" width="50.7109375" style="2" customWidth="1"/>
    <col min="3" max="7" width="14.7109375" style="2" customWidth="1"/>
    <col min="8" max="8" width="2.7109375" style="2" customWidth="1"/>
    <col min="9" max="13" width="14.7109375" style="2" customWidth="1"/>
    <col min="14" max="14" width="2.7109375" style="2" customWidth="1"/>
    <col min="15" max="19" width="14.7109375" style="2" customWidth="1"/>
    <col min="20" max="20" width="2.7109375" style="2" customWidth="1"/>
    <col min="21" max="25" width="14.7109375" style="2" customWidth="1"/>
    <col min="26" max="16384" width="12.7109375" style="2" customWidth="1"/>
  </cols>
  <sheetData>
    <row r="1" spans="2:25" ht="12.75">
      <c r="B1" s="20" t="s">
        <v>223</v>
      </c>
      <c r="G1" s="32"/>
      <c r="H1" s="1"/>
      <c r="I1" s="1"/>
      <c r="J1" s="1"/>
      <c r="K1" s="1"/>
      <c r="L1" s="1"/>
      <c r="M1" s="32"/>
      <c r="N1" s="1"/>
      <c r="S1" s="32"/>
      <c r="Y1" s="32"/>
    </row>
    <row r="2" spans="2:25" ht="12.75">
      <c r="B2" s="20" t="s">
        <v>0</v>
      </c>
      <c r="G2" s="32"/>
      <c r="H2" s="1"/>
      <c r="I2" s="1"/>
      <c r="J2" s="1"/>
      <c r="K2" s="1"/>
      <c r="L2" s="1"/>
      <c r="M2" s="32"/>
      <c r="N2" s="1"/>
      <c r="S2" s="32"/>
      <c r="Y2" s="32"/>
    </row>
    <row r="3" ht="12.75">
      <c r="B3" s="20" t="s">
        <v>127</v>
      </c>
    </row>
    <row r="4" spans="7:25" ht="12.75">
      <c r="G4" s="33"/>
      <c r="H4" s="8"/>
      <c r="I4" s="8"/>
      <c r="J4" s="8"/>
      <c r="K4" s="8"/>
      <c r="L4" s="8"/>
      <c r="M4" s="33" t="s">
        <v>1</v>
      </c>
      <c r="N4" s="8"/>
      <c r="S4" s="33"/>
      <c r="Y4" s="33"/>
    </row>
    <row r="5" ht="12.75">
      <c r="B5" s="7"/>
    </row>
    <row r="8" spans="2:25" ht="12.7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 t="s">
        <v>11</v>
      </c>
      <c r="M8" s="4" t="s">
        <v>60</v>
      </c>
      <c r="N8" s="4"/>
      <c r="O8" s="4" t="s">
        <v>61</v>
      </c>
      <c r="P8" s="4" t="s">
        <v>62</v>
      </c>
      <c r="Q8" s="4" t="s">
        <v>63</v>
      </c>
      <c r="R8" s="4" t="s">
        <v>64</v>
      </c>
      <c r="S8" s="4" t="s">
        <v>224</v>
      </c>
      <c r="U8" s="4" t="s">
        <v>225</v>
      </c>
      <c r="V8" s="4" t="s">
        <v>226</v>
      </c>
      <c r="W8" s="4" t="s">
        <v>227</v>
      </c>
      <c r="X8" s="4" t="s">
        <v>228</v>
      </c>
      <c r="Y8" s="4" t="s">
        <v>229</v>
      </c>
    </row>
    <row r="10" spans="3:25" ht="12.7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66</v>
      </c>
      <c r="J10" s="10"/>
      <c r="K10" s="10"/>
      <c r="L10" s="10"/>
      <c r="M10" s="10"/>
      <c r="N10" s="12"/>
      <c r="O10" s="13" t="s">
        <v>129</v>
      </c>
      <c r="P10" s="10"/>
      <c r="Q10" s="10"/>
      <c r="R10" s="10"/>
      <c r="S10" s="10"/>
      <c r="U10" s="13" t="s">
        <v>123</v>
      </c>
      <c r="V10" s="10"/>
      <c r="W10" s="10"/>
      <c r="X10" s="10"/>
      <c r="Y10" s="10"/>
    </row>
    <row r="11" spans="3:25" ht="12.75">
      <c r="C11" s="14"/>
      <c r="D11" s="14"/>
      <c r="G11" s="12" t="s">
        <v>15</v>
      </c>
      <c r="H11" s="12"/>
      <c r="I11" s="14"/>
      <c r="J11" s="14"/>
      <c r="K11" s="14"/>
      <c r="L11" s="14"/>
      <c r="M11" s="14"/>
      <c r="N11" s="12"/>
      <c r="O11" s="14"/>
      <c r="P11" s="14"/>
      <c r="Q11" s="14"/>
      <c r="R11" s="14"/>
      <c r="S11" s="14"/>
      <c r="U11" s="14"/>
      <c r="V11" s="14"/>
      <c r="W11" s="14"/>
      <c r="X11" s="14"/>
      <c r="Y11" s="14"/>
    </row>
    <row r="12" spans="3:14" ht="12.7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N12" s="12"/>
    </row>
    <row r="13" spans="2:25" ht="12.75">
      <c r="B13" s="4" t="s">
        <v>18</v>
      </c>
      <c r="C13" s="4" t="s">
        <v>128</v>
      </c>
      <c r="D13" s="4" t="s">
        <v>122</v>
      </c>
      <c r="E13" s="4" t="str">
        <f>+C13</f>
        <v>OF 12-31-11</v>
      </c>
      <c r="F13" s="4" t="str">
        <f>+D13</f>
        <v>OF 12-31-10</v>
      </c>
      <c r="G13" s="4" t="s">
        <v>19</v>
      </c>
      <c r="H13" s="4"/>
      <c r="I13" s="4" t="s">
        <v>20</v>
      </c>
      <c r="J13" s="4" t="s">
        <v>230</v>
      </c>
      <c r="K13" s="4" t="s">
        <v>21</v>
      </c>
      <c r="L13" s="4" t="s">
        <v>22</v>
      </c>
      <c r="M13" s="4" t="s">
        <v>231</v>
      </c>
      <c r="N13" s="4"/>
      <c r="O13" s="4" t="s">
        <v>20</v>
      </c>
      <c r="P13" s="4" t="s">
        <v>230</v>
      </c>
      <c r="Q13" s="4" t="s">
        <v>21</v>
      </c>
      <c r="R13" s="4" t="s">
        <v>22</v>
      </c>
      <c r="S13" s="4" t="s">
        <v>231</v>
      </c>
      <c r="U13" s="4" t="s">
        <v>20</v>
      </c>
      <c r="V13" s="4" t="s">
        <v>230</v>
      </c>
      <c r="W13" s="4" t="s">
        <v>21</v>
      </c>
      <c r="X13" s="4" t="s">
        <v>22</v>
      </c>
      <c r="Y13" s="4" t="s">
        <v>231</v>
      </c>
    </row>
    <row r="15" spans="2:25" ht="12.75">
      <c r="B15" s="3" t="s">
        <v>23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2:25" ht="12.75"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16">
        <v>1</v>
      </c>
      <c r="B17" s="3" t="s">
        <v>85</v>
      </c>
      <c r="C17" s="5">
        <f>SUM(O17:S17)</f>
        <v>262768.1</v>
      </c>
      <c r="D17" s="5">
        <f>SUM(U17:Y17)</f>
        <v>283301.2</v>
      </c>
      <c r="E17" s="5"/>
      <c r="F17" s="5"/>
      <c r="G17" s="5">
        <f>ROUND(SUM(C17:F17)/2,0)</f>
        <v>273035</v>
      </c>
      <c r="H17" s="5"/>
      <c r="I17" s="5">
        <f>(+O17+U17)/2</f>
        <v>273034.65</v>
      </c>
      <c r="J17" s="5">
        <f>(+P17+V17)/2</f>
        <v>0</v>
      </c>
      <c r="K17" s="5">
        <f>(+Q17+W17)/2</f>
        <v>0</v>
      </c>
      <c r="L17" s="5">
        <f>(+R17+X17)/2</f>
        <v>0</v>
      </c>
      <c r="M17" s="5">
        <f>(+S17+Y17)/2</f>
        <v>0</v>
      </c>
      <c r="N17" s="5"/>
      <c r="O17" s="5">
        <v>262768.1</v>
      </c>
      <c r="P17" s="5">
        <v>0</v>
      </c>
      <c r="Q17" s="5">
        <v>0</v>
      </c>
      <c r="R17" s="5">
        <v>0</v>
      </c>
      <c r="S17" s="5">
        <v>0</v>
      </c>
      <c r="T17" s="5"/>
      <c r="U17" s="5">
        <v>283301.2</v>
      </c>
      <c r="V17" s="5">
        <v>0</v>
      </c>
      <c r="W17" s="5">
        <v>0</v>
      </c>
      <c r="X17" s="5">
        <v>0</v>
      </c>
      <c r="Y17" s="5">
        <v>0</v>
      </c>
    </row>
    <row r="18" spans="1:25" ht="12.75">
      <c r="A18" s="16">
        <f aca="true" t="shared" si="0" ref="A18:A49">A17+1</f>
        <v>2</v>
      </c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>
      <c r="A19" s="16">
        <f t="shared" si="0"/>
        <v>3</v>
      </c>
      <c r="B19" s="1" t="s">
        <v>25</v>
      </c>
      <c r="C19" s="5">
        <v>0</v>
      </c>
      <c r="D19" s="5">
        <v>0</v>
      </c>
      <c r="E19" s="5">
        <f aca="true" t="shared" si="1" ref="E19:F21">-C19</f>
        <v>0</v>
      </c>
      <c r="F19" s="5">
        <f t="shared" si="1"/>
        <v>0</v>
      </c>
      <c r="G19" s="5">
        <f>ROUND(SUM(C19:F19)/2,0)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>
      <c r="A20" s="16">
        <f t="shared" si="0"/>
        <v>4</v>
      </c>
      <c r="B20" s="1" t="s">
        <v>26</v>
      </c>
      <c r="C20" s="5">
        <v>0</v>
      </c>
      <c r="D20" s="5">
        <v>0</v>
      </c>
      <c r="E20" s="5">
        <f t="shared" si="1"/>
        <v>0</v>
      </c>
      <c r="F20" s="5">
        <f t="shared" si="1"/>
        <v>0</v>
      </c>
      <c r="G20" s="5">
        <f>ROUND(SUM(C20:F20)/2,0)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2.75">
      <c r="A21" s="16">
        <f t="shared" si="0"/>
        <v>5</v>
      </c>
      <c r="B21" s="1" t="s">
        <v>27</v>
      </c>
      <c r="C21" s="5">
        <v>0</v>
      </c>
      <c r="D21" s="5">
        <v>0</v>
      </c>
      <c r="E21" s="5">
        <f t="shared" si="1"/>
        <v>0</v>
      </c>
      <c r="F21" s="5">
        <f t="shared" si="1"/>
        <v>0</v>
      </c>
      <c r="G21" s="5">
        <f>ROUND(SUM(C21:F21)/2,0)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2.75">
      <c r="A22" s="16">
        <f t="shared" si="0"/>
        <v>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3.5" thickBot="1">
      <c r="A23" s="16">
        <f t="shared" si="0"/>
        <v>7</v>
      </c>
      <c r="B23" s="3" t="s">
        <v>28</v>
      </c>
      <c r="C23" s="17">
        <f>SUM(C17:C22)</f>
        <v>262768.1</v>
      </c>
      <c r="D23" s="17">
        <f>SUM(D17:D22)</f>
        <v>283301.2</v>
      </c>
      <c r="E23" s="17">
        <f>SUM(E17:E22)</f>
        <v>0</v>
      </c>
      <c r="F23" s="17">
        <f>SUM(F17:F22)</f>
        <v>0</v>
      </c>
      <c r="G23" s="17">
        <f>SUM(G17:G22)</f>
        <v>273035</v>
      </c>
      <c r="H23" s="17"/>
      <c r="I23" s="17">
        <f>SUM(I17:I22)</f>
        <v>273034.65</v>
      </c>
      <c r="J23" s="17">
        <f>SUM(J17:J22)</f>
        <v>0</v>
      </c>
      <c r="K23" s="17">
        <f>SUM(K17:K22)</f>
        <v>0</v>
      </c>
      <c r="L23" s="17">
        <f>SUM(L17:L22)</f>
        <v>0</v>
      </c>
      <c r="M23" s="17">
        <f>SUM(M17:M22)</f>
        <v>0</v>
      </c>
      <c r="N23" s="17"/>
      <c r="O23" s="17">
        <f>SUM(O17:O22)</f>
        <v>262768.1</v>
      </c>
      <c r="P23" s="17">
        <f>SUM(P17:P22)</f>
        <v>0</v>
      </c>
      <c r="Q23" s="17">
        <f>SUM(Q17:Q22)</f>
        <v>0</v>
      </c>
      <c r="R23" s="17">
        <f>SUM(R17:R22)</f>
        <v>0</v>
      </c>
      <c r="S23" s="17">
        <f>SUM(S17:S22)</f>
        <v>0</v>
      </c>
      <c r="T23" s="5"/>
      <c r="U23" s="17">
        <f>SUM(U17:U22)</f>
        <v>283301.2</v>
      </c>
      <c r="V23" s="17">
        <f>SUM(V17:V22)</f>
        <v>0</v>
      </c>
      <c r="W23" s="17">
        <f>SUM(W17:W22)</f>
        <v>0</v>
      </c>
      <c r="X23" s="17">
        <f>SUM(X17:X22)</f>
        <v>0</v>
      </c>
      <c r="Y23" s="17">
        <f>SUM(Y17:Y22)</f>
        <v>0</v>
      </c>
    </row>
    <row r="24" spans="1:25" ht="13.5" thickTop="1">
      <c r="A24" s="16">
        <f t="shared" si="0"/>
        <v>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5"/>
      <c r="U24" s="18"/>
      <c r="V24" s="18"/>
      <c r="W24" s="18"/>
      <c r="X24" s="18"/>
      <c r="Y24" s="18"/>
    </row>
    <row r="25" spans="1:25" ht="12.75">
      <c r="A25" s="16">
        <f t="shared" si="0"/>
        <v>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16">
        <f t="shared" si="0"/>
        <v>10</v>
      </c>
      <c r="B26" s="1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16">
        <f t="shared" si="0"/>
        <v>11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16">
        <f t="shared" si="0"/>
        <v>12</v>
      </c>
      <c r="B28" s="1" t="s">
        <v>232</v>
      </c>
      <c r="C28" s="5">
        <f aca="true" t="shared" si="2" ref="C28:C59">SUM(O28:S28)</f>
        <v>741407</v>
      </c>
      <c r="D28" s="5">
        <f aca="true" t="shared" si="3" ref="D28:D59">SUM(U28:Y28)</f>
        <v>1283351</v>
      </c>
      <c r="E28" s="5"/>
      <c r="F28" s="5"/>
      <c r="G28" s="5">
        <f aca="true" t="shared" si="4" ref="G28:G59">ROUND(SUM(C28:F28)/2,0)</f>
        <v>1012379</v>
      </c>
      <c r="H28" s="5"/>
      <c r="I28" s="5">
        <f aca="true" t="shared" si="5" ref="I28:I59">(+O28+U28)/2</f>
        <v>0</v>
      </c>
      <c r="J28" s="5">
        <f aca="true" t="shared" si="6" ref="J28:J59">(+P28+V28)/2</f>
        <v>1012379</v>
      </c>
      <c r="K28" s="5">
        <f aca="true" t="shared" si="7" ref="K28:K59">(+Q28+W28)/2</f>
        <v>0</v>
      </c>
      <c r="L28" s="5">
        <f aca="true" t="shared" si="8" ref="L28:L59">(+R28+X28)/2</f>
        <v>0</v>
      </c>
      <c r="M28" s="5">
        <f aca="true" t="shared" si="9" ref="M28:M59">(+S28+Y28)/2</f>
        <v>0</v>
      </c>
      <c r="N28" s="5"/>
      <c r="O28" s="5">
        <v>0</v>
      </c>
      <c r="P28" s="5">
        <v>741407</v>
      </c>
      <c r="Q28" s="5">
        <v>0</v>
      </c>
      <c r="R28" s="5">
        <v>0</v>
      </c>
      <c r="S28" s="5">
        <v>0</v>
      </c>
      <c r="T28" s="5"/>
      <c r="U28" s="5">
        <v>0</v>
      </c>
      <c r="V28" s="5">
        <v>1283351</v>
      </c>
      <c r="W28" s="5">
        <v>0</v>
      </c>
      <c r="X28" s="5">
        <v>0</v>
      </c>
      <c r="Y28" s="5">
        <v>0</v>
      </c>
    </row>
    <row r="29" spans="1:25" ht="12.75">
      <c r="A29" s="16">
        <f t="shared" si="0"/>
        <v>13</v>
      </c>
      <c r="B29" s="1" t="s">
        <v>233</v>
      </c>
      <c r="C29" s="5">
        <f t="shared" si="2"/>
        <v>0</v>
      </c>
      <c r="D29" s="5">
        <f t="shared" si="3"/>
        <v>0</v>
      </c>
      <c r="E29" s="5"/>
      <c r="F29" s="5"/>
      <c r="G29" s="5">
        <f t="shared" si="4"/>
        <v>0</v>
      </c>
      <c r="H29" s="5"/>
      <c r="I29" s="5">
        <f t="shared" si="5"/>
        <v>0</v>
      </c>
      <c r="J29" s="5">
        <f t="shared" si="6"/>
        <v>0</v>
      </c>
      <c r="K29" s="5">
        <f t="shared" si="7"/>
        <v>0</v>
      </c>
      <c r="L29" s="5">
        <f t="shared" si="8"/>
        <v>0</v>
      </c>
      <c r="M29" s="5">
        <f t="shared" si="9"/>
        <v>0</v>
      </c>
      <c r="N29" s="5"/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/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 ht="12.75">
      <c r="A30" s="16">
        <f t="shared" si="0"/>
        <v>14</v>
      </c>
      <c r="B30" s="1" t="s">
        <v>234</v>
      </c>
      <c r="C30" s="5">
        <f t="shared" si="2"/>
        <v>-1371542</v>
      </c>
      <c r="D30" s="5">
        <f t="shared" si="3"/>
        <v>-1371542</v>
      </c>
      <c r="E30" s="5"/>
      <c r="F30" s="5"/>
      <c r="G30" s="5">
        <f t="shared" si="4"/>
        <v>-1371542</v>
      </c>
      <c r="H30" s="5"/>
      <c r="I30" s="5">
        <f t="shared" si="5"/>
        <v>-23541</v>
      </c>
      <c r="J30" s="5">
        <f t="shared" si="6"/>
        <v>-248</v>
      </c>
      <c r="K30" s="5">
        <f t="shared" si="7"/>
        <v>-716765</v>
      </c>
      <c r="L30" s="5">
        <f t="shared" si="8"/>
        <v>-630988</v>
      </c>
      <c r="M30" s="5">
        <f t="shared" si="9"/>
        <v>0</v>
      </c>
      <c r="N30" s="5"/>
      <c r="O30" s="5">
        <v>-23541</v>
      </c>
      <c r="P30" s="5">
        <v>-248</v>
      </c>
      <c r="Q30" s="5">
        <v>-716765</v>
      </c>
      <c r="R30" s="5">
        <v>-630988</v>
      </c>
      <c r="S30" s="5">
        <v>0</v>
      </c>
      <c r="T30" s="5"/>
      <c r="U30" s="5">
        <v>-23541</v>
      </c>
      <c r="V30" s="5">
        <v>-248</v>
      </c>
      <c r="W30" s="5">
        <v>-716765</v>
      </c>
      <c r="X30" s="5">
        <v>-630988</v>
      </c>
      <c r="Y30" s="5">
        <v>0</v>
      </c>
    </row>
    <row r="31" spans="1:25" ht="12.75">
      <c r="A31" s="16">
        <f t="shared" si="0"/>
        <v>15</v>
      </c>
      <c r="B31" s="3" t="s">
        <v>235</v>
      </c>
      <c r="C31" s="5">
        <f t="shared" si="2"/>
        <v>512487957.41999996</v>
      </c>
      <c r="D31" s="5">
        <f t="shared" si="3"/>
        <v>438138397.56999993</v>
      </c>
      <c r="E31" s="5"/>
      <c r="F31" s="5"/>
      <c r="G31" s="5">
        <f t="shared" si="4"/>
        <v>475313177</v>
      </c>
      <c r="H31" s="5"/>
      <c r="I31" s="5">
        <f t="shared" si="5"/>
        <v>65134970.675</v>
      </c>
      <c r="J31" s="5">
        <f t="shared" si="6"/>
        <v>159310238.97499996</v>
      </c>
      <c r="K31" s="5">
        <f t="shared" si="7"/>
        <v>119946256.275</v>
      </c>
      <c r="L31" s="5">
        <f t="shared" si="8"/>
        <v>130921711.57</v>
      </c>
      <c r="M31" s="5">
        <f t="shared" si="9"/>
        <v>0</v>
      </c>
      <c r="N31" s="5"/>
      <c r="O31" s="5">
        <f>7478.35+3449+19573.95+1625+24440824.8+3240+28323060+1937909+5228101.65-24835+5266754.35+26139+3860299.1</f>
        <v>69093619.2</v>
      </c>
      <c r="P31" s="5">
        <f>124.9+43-0.15+171910098.45+36454</f>
        <v>171946720.2</v>
      </c>
      <c r="Q31" s="5">
        <f>470.4+161-0.35+125601469+1524989</f>
        <v>127127089.05</v>
      </c>
      <c r="R31" s="5">
        <f>8669.15+2942+144391523.82-82606</f>
        <v>144320528.97</v>
      </c>
      <c r="S31" s="5">
        <v>0</v>
      </c>
      <c r="T31" s="5"/>
      <c r="U31" s="5">
        <f>8315.55+3945+19650.6+1692+16093718.9+3826+29582845.8+2128761+5718280.15-27566+4232463.75+28184+3382205.4</f>
        <v>61176322.15</v>
      </c>
      <c r="V31" s="5">
        <f>188.95+52+146513688.95+159828-0.15</f>
        <v>146673757.74999997</v>
      </c>
      <c r="W31" s="5">
        <f>518.35+177+2003.75-195+111188792.4+1574127</f>
        <v>112765423.5</v>
      </c>
      <c r="X31" s="5">
        <f>9667+3279-977.9-860+117592183.07-80397</f>
        <v>117522894.16999999</v>
      </c>
      <c r="Y31" s="5">
        <v>0</v>
      </c>
    </row>
    <row r="32" spans="1:25" ht="12.75">
      <c r="A32" s="16">
        <f t="shared" si="0"/>
        <v>16</v>
      </c>
      <c r="B32" s="3" t="s">
        <v>106</v>
      </c>
      <c r="C32" s="5">
        <f t="shared" si="2"/>
        <v>17952645.900000002</v>
      </c>
      <c r="D32" s="5">
        <f t="shared" si="3"/>
        <v>17557305.85</v>
      </c>
      <c r="E32" s="5"/>
      <c r="F32" s="5"/>
      <c r="G32" s="5">
        <f t="shared" si="4"/>
        <v>17754976</v>
      </c>
      <c r="H32" s="5"/>
      <c r="I32" s="5">
        <f t="shared" si="5"/>
        <v>546905.8</v>
      </c>
      <c r="J32" s="5">
        <f t="shared" si="6"/>
        <v>16823497.075</v>
      </c>
      <c r="K32" s="5">
        <f t="shared" si="7"/>
        <v>0</v>
      </c>
      <c r="L32" s="5">
        <f t="shared" si="8"/>
        <v>384573</v>
      </c>
      <c r="M32" s="5">
        <f t="shared" si="9"/>
        <v>0</v>
      </c>
      <c r="N32" s="5"/>
      <c r="O32" s="5">
        <v>550111.1</v>
      </c>
      <c r="P32" s="5">
        <v>17017961.8</v>
      </c>
      <c r="Q32" s="5">
        <v>0</v>
      </c>
      <c r="R32" s="5">
        <v>384573</v>
      </c>
      <c r="S32" s="5">
        <v>0</v>
      </c>
      <c r="T32" s="5"/>
      <c r="U32" s="5">
        <v>543700.5</v>
      </c>
      <c r="V32" s="5">
        <v>16629032.35</v>
      </c>
      <c r="W32" s="5">
        <v>0</v>
      </c>
      <c r="X32" s="5">
        <v>384573</v>
      </c>
      <c r="Y32" s="5">
        <v>0</v>
      </c>
    </row>
    <row r="33" spans="1:25" ht="12.75">
      <c r="A33" s="16">
        <f t="shared" si="0"/>
        <v>17</v>
      </c>
      <c r="B33" s="3" t="s">
        <v>236</v>
      </c>
      <c r="C33" s="5">
        <f t="shared" si="2"/>
        <v>3717095.5499999993</v>
      </c>
      <c r="D33" s="5">
        <f t="shared" si="3"/>
        <v>3717095.5499999993</v>
      </c>
      <c r="E33" s="5"/>
      <c r="F33" s="5"/>
      <c r="G33" s="5">
        <f t="shared" si="4"/>
        <v>3717096</v>
      </c>
      <c r="H33" s="5"/>
      <c r="I33" s="5">
        <f t="shared" si="5"/>
        <v>1162302.15</v>
      </c>
      <c r="J33" s="5">
        <f t="shared" si="6"/>
        <v>1198773.95</v>
      </c>
      <c r="K33" s="5">
        <f t="shared" si="7"/>
        <v>890831.15</v>
      </c>
      <c r="L33" s="5">
        <f t="shared" si="8"/>
        <v>465188.3</v>
      </c>
      <c r="M33" s="5">
        <f t="shared" si="9"/>
        <v>0</v>
      </c>
      <c r="N33" s="5"/>
      <c r="O33" s="5">
        <v>1162302.15</v>
      </c>
      <c r="P33" s="5">
        <v>1198773.95</v>
      </c>
      <c r="Q33" s="5">
        <v>890831.15</v>
      </c>
      <c r="R33" s="5">
        <v>465188.3</v>
      </c>
      <c r="S33" s="5">
        <v>0</v>
      </c>
      <c r="T33" s="5"/>
      <c r="U33" s="5">
        <v>1162302.15</v>
      </c>
      <c r="V33" s="5">
        <v>1198773.95</v>
      </c>
      <c r="W33" s="5">
        <v>890831.15</v>
      </c>
      <c r="X33" s="5">
        <v>465188.3</v>
      </c>
      <c r="Y33" s="5">
        <v>0</v>
      </c>
    </row>
    <row r="34" spans="1:25" ht="12.75">
      <c r="A34" s="16">
        <f t="shared" si="0"/>
        <v>18</v>
      </c>
      <c r="B34" s="3" t="s">
        <v>237</v>
      </c>
      <c r="C34" s="5">
        <f t="shared" si="2"/>
        <v>281474.89999999997</v>
      </c>
      <c r="D34" s="5">
        <f t="shared" si="3"/>
        <v>326111.1</v>
      </c>
      <c r="E34" s="5"/>
      <c r="F34" s="5"/>
      <c r="G34" s="5">
        <f t="shared" si="4"/>
        <v>303793</v>
      </c>
      <c r="H34" s="5"/>
      <c r="I34" s="5">
        <f t="shared" si="5"/>
        <v>19111.575</v>
      </c>
      <c r="J34" s="5">
        <f t="shared" si="6"/>
        <v>236729.15</v>
      </c>
      <c r="K34" s="5">
        <f t="shared" si="7"/>
        <v>14676.55</v>
      </c>
      <c r="L34" s="5">
        <f t="shared" si="8"/>
        <v>33275.725</v>
      </c>
      <c r="M34" s="5">
        <f t="shared" si="9"/>
        <v>0</v>
      </c>
      <c r="N34" s="5"/>
      <c r="O34" s="5">
        <v>17525.9</v>
      </c>
      <c r="P34" s="5">
        <v>219878.05</v>
      </c>
      <c r="Q34" s="5">
        <v>13555.5</v>
      </c>
      <c r="R34" s="5">
        <v>30515.45</v>
      </c>
      <c r="S34" s="5">
        <v>0</v>
      </c>
      <c r="T34" s="5"/>
      <c r="U34" s="5">
        <v>20697.25</v>
      </c>
      <c r="V34" s="5">
        <v>253580.25</v>
      </c>
      <c r="W34" s="5">
        <v>15797.6</v>
      </c>
      <c r="X34" s="5">
        <v>36036</v>
      </c>
      <c r="Y34" s="5">
        <v>0</v>
      </c>
    </row>
    <row r="35" spans="1:25" ht="12.75">
      <c r="A35" s="16">
        <f t="shared" si="0"/>
        <v>19</v>
      </c>
      <c r="B35" s="3" t="s">
        <v>238</v>
      </c>
      <c r="C35" s="5">
        <f t="shared" si="2"/>
        <v>787076.15</v>
      </c>
      <c r="D35" s="5">
        <f t="shared" si="3"/>
        <v>922848.15</v>
      </c>
      <c r="E35" s="5"/>
      <c r="F35" s="5"/>
      <c r="G35" s="5">
        <f t="shared" si="4"/>
        <v>854962</v>
      </c>
      <c r="H35" s="5"/>
      <c r="I35" s="5">
        <f t="shared" si="5"/>
        <v>0</v>
      </c>
      <c r="J35" s="5">
        <f t="shared" si="6"/>
        <v>0</v>
      </c>
      <c r="K35" s="5">
        <f t="shared" si="7"/>
        <v>0</v>
      </c>
      <c r="L35" s="5">
        <f t="shared" si="8"/>
        <v>854962.15</v>
      </c>
      <c r="M35" s="5">
        <f t="shared" si="9"/>
        <v>0</v>
      </c>
      <c r="N35" s="5"/>
      <c r="O35" s="5">
        <v>0</v>
      </c>
      <c r="P35" s="5">
        <v>0</v>
      </c>
      <c r="Q35" s="5">
        <v>0</v>
      </c>
      <c r="R35" s="5">
        <v>787076.15</v>
      </c>
      <c r="S35" s="5">
        <v>0</v>
      </c>
      <c r="T35" s="5"/>
      <c r="U35" s="5">
        <v>0</v>
      </c>
      <c r="V35" s="5">
        <v>0</v>
      </c>
      <c r="W35" s="5">
        <v>0</v>
      </c>
      <c r="X35" s="5">
        <v>922848.15</v>
      </c>
      <c r="Y35" s="5">
        <v>0</v>
      </c>
    </row>
    <row r="36" spans="1:25" ht="12.75">
      <c r="A36" s="16">
        <f t="shared" si="0"/>
        <v>20</v>
      </c>
      <c r="B36" s="3" t="s">
        <v>239</v>
      </c>
      <c r="C36" s="5">
        <f t="shared" si="2"/>
        <v>430380.64</v>
      </c>
      <c r="D36" s="5">
        <f t="shared" si="3"/>
        <v>472640.54000000004</v>
      </c>
      <c r="E36" s="5"/>
      <c r="F36" s="5"/>
      <c r="G36" s="5">
        <f t="shared" si="4"/>
        <v>451511</v>
      </c>
      <c r="H36" s="5"/>
      <c r="I36" s="5">
        <f t="shared" si="5"/>
        <v>0</v>
      </c>
      <c r="J36" s="5">
        <f t="shared" si="6"/>
        <v>229050.325</v>
      </c>
      <c r="K36" s="5">
        <f t="shared" si="7"/>
        <v>222460.265</v>
      </c>
      <c r="L36" s="5">
        <f t="shared" si="8"/>
        <v>0</v>
      </c>
      <c r="M36" s="5">
        <f t="shared" si="9"/>
        <v>0</v>
      </c>
      <c r="N36" s="5"/>
      <c r="O36" s="5">
        <v>0</v>
      </c>
      <c r="P36" s="5">
        <v>221152.05</v>
      </c>
      <c r="Q36" s="5">
        <v>209228.59</v>
      </c>
      <c r="R36" s="5">
        <v>0</v>
      </c>
      <c r="S36" s="5">
        <v>0</v>
      </c>
      <c r="T36" s="5"/>
      <c r="U36" s="5">
        <v>0</v>
      </c>
      <c r="V36" s="5">
        <v>236948.6</v>
      </c>
      <c r="W36" s="5">
        <v>235691.94</v>
      </c>
      <c r="X36" s="5">
        <v>0</v>
      </c>
      <c r="Y36" s="5">
        <v>0</v>
      </c>
    </row>
    <row r="37" spans="1:25" ht="12.75">
      <c r="A37" s="16">
        <f t="shared" si="0"/>
        <v>21</v>
      </c>
      <c r="B37" s="3" t="s">
        <v>240</v>
      </c>
      <c r="C37" s="5">
        <f t="shared" si="2"/>
        <v>34707659.6</v>
      </c>
      <c r="D37" s="5">
        <f t="shared" si="3"/>
        <v>35631959.089999996</v>
      </c>
      <c r="E37" s="5"/>
      <c r="F37" s="5"/>
      <c r="G37" s="5">
        <f t="shared" si="4"/>
        <v>35169809</v>
      </c>
      <c r="H37" s="5"/>
      <c r="I37" s="5">
        <f t="shared" si="5"/>
        <v>9475507.625</v>
      </c>
      <c r="J37" s="5">
        <f t="shared" si="6"/>
        <v>25440448.125</v>
      </c>
      <c r="K37" s="5">
        <f t="shared" si="7"/>
        <v>18517.46</v>
      </c>
      <c r="L37" s="5">
        <f t="shared" si="8"/>
        <v>235336.135</v>
      </c>
      <c r="M37" s="5">
        <f t="shared" si="9"/>
        <v>0</v>
      </c>
      <c r="N37" s="5"/>
      <c r="O37" s="5">
        <v>9614486.56</v>
      </c>
      <c r="P37" s="5">
        <v>24832376.67</v>
      </c>
      <c r="Q37" s="5">
        <v>18517.46</v>
      </c>
      <c r="R37" s="5">
        <v>242278.91</v>
      </c>
      <c r="S37" s="5">
        <v>0</v>
      </c>
      <c r="T37" s="5"/>
      <c r="U37" s="5">
        <v>9336528.69</v>
      </c>
      <c r="V37" s="5">
        <v>26048519.58</v>
      </c>
      <c r="W37" s="5">
        <v>18517.46</v>
      </c>
      <c r="X37" s="5">
        <v>228393.36</v>
      </c>
      <c r="Y37" s="5">
        <v>0</v>
      </c>
    </row>
    <row r="38" spans="1:25" ht="12.75">
      <c r="A38" s="16">
        <f t="shared" si="0"/>
        <v>22</v>
      </c>
      <c r="B38" s="3" t="s">
        <v>107</v>
      </c>
      <c r="C38" s="5">
        <f t="shared" si="2"/>
        <v>34444310.45</v>
      </c>
      <c r="D38" s="5">
        <f t="shared" si="3"/>
        <v>32040337.63</v>
      </c>
      <c r="E38" s="5"/>
      <c r="F38" s="5"/>
      <c r="G38" s="5">
        <f t="shared" si="4"/>
        <v>33242324</v>
      </c>
      <c r="H38" s="5"/>
      <c r="I38" s="5">
        <f t="shared" si="5"/>
        <v>8358853.665</v>
      </c>
      <c r="J38" s="5">
        <f t="shared" si="6"/>
        <v>1742199.0250000001</v>
      </c>
      <c r="K38" s="5">
        <f t="shared" si="7"/>
        <v>5793462.275</v>
      </c>
      <c r="L38" s="5">
        <f t="shared" si="8"/>
        <v>17347809.075</v>
      </c>
      <c r="M38" s="5">
        <f t="shared" si="9"/>
        <v>0</v>
      </c>
      <c r="N38" s="5"/>
      <c r="O38" s="5">
        <f>14362439.6-5521783</f>
        <v>8840656.6</v>
      </c>
      <c r="P38" s="5">
        <f>2753359.6-374093</f>
        <v>2379266.6</v>
      </c>
      <c r="Q38" s="5">
        <f>10113358.25-4465133</f>
        <v>5648225.25</v>
      </c>
      <c r="R38" s="5">
        <f>25348134-7771972</f>
        <v>17576162</v>
      </c>
      <c r="S38" s="5">
        <v>0</v>
      </c>
      <c r="T38" s="5"/>
      <c r="U38" s="5">
        <f>14579335.65-5046652-1655632.92</f>
        <v>7877050.73</v>
      </c>
      <c r="V38" s="5">
        <f>1614309.1-245790-263387.65</f>
        <v>1105131.4500000002</v>
      </c>
      <c r="W38" s="5">
        <f>10065927.3-4127228</f>
        <v>5938699.300000001</v>
      </c>
      <c r="X38" s="5">
        <f>24024430.15-6904974</f>
        <v>17119456.15</v>
      </c>
      <c r="Y38" s="5">
        <v>0</v>
      </c>
    </row>
    <row r="39" spans="1:25" ht="12.75">
      <c r="A39" s="16">
        <f t="shared" si="0"/>
        <v>23</v>
      </c>
      <c r="B39" s="3" t="s">
        <v>241</v>
      </c>
      <c r="C39" s="5">
        <f t="shared" si="2"/>
        <v>-2721772.52</v>
      </c>
      <c r="D39" s="5">
        <f t="shared" si="3"/>
        <v>0</v>
      </c>
      <c r="E39" s="5"/>
      <c r="F39" s="5"/>
      <c r="G39" s="5">
        <f t="shared" si="4"/>
        <v>-1360886</v>
      </c>
      <c r="H39" s="5"/>
      <c r="I39" s="5">
        <f t="shared" si="5"/>
        <v>-1174103.31</v>
      </c>
      <c r="J39" s="5">
        <f t="shared" si="6"/>
        <v>-186782.95</v>
      </c>
      <c r="K39" s="5">
        <f t="shared" si="7"/>
        <v>0</v>
      </c>
      <c r="L39" s="5">
        <f t="shared" si="8"/>
        <v>0</v>
      </c>
      <c r="M39" s="5">
        <f t="shared" si="9"/>
        <v>0</v>
      </c>
      <c r="N39" s="5"/>
      <c r="O39" s="5">
        <v>-2348206.62</v>
      </c>
      <c r="P39" s="5">
        <v>-373565.9</v>
      </c>
      <c r="Q39" s="5">
        <v>0</v>
      </c>
      <c r="R39" s="5">
        <v>0</v>
      </c>
      <c r="S39" s="5">
        <v>0</v>
      </c>
      <c r="T39" s="5"/>
      <c r="U39" s="5">
        <v>0</v>
      </c>
      <c r="V39" s="5">
        <v>0</v>
      </c>
      <c r="W39" s="5">
        <v>0</v>
      </c>
      <c r="X39" s="5">
        <v>0</v>
      </c>
      <c r="Y39" s="5">
        <v>0</v>
      </c>
    </row>
    <row r="40" spans="1:25" ht="12.75">
      <c r="A40" s="16">
        <f t="shared" si="0"/>
        <v>24</v>
      </c>
      <c r="B40" s="1" t="s">
        <v>31</v>
      </c>
      <c r="C40" s="5">
        <f t="shared" si="2"/>
        <v>16869974.41</v>
      </c>
      <c r="D40" s="5">
        <f t="shared" si="3"/>
        <v>16526143.010000002</v>
      </c>
      <c r="E40" s="5"/>
      <c r="F40" s="5"/>
      <c r="G40" s="5">
        <f t="shared" si="4"/>
        <v>16698059</v>
      </c>
      <c r="H40" s="5"/>
      <c r="I40" s="5">
        <f t="shared" si="5"/>
        <v>3910845.085</v>
      </c>
      <c r="J40" s="5">
        <f t="shared" si="6"/>
        <v>5257064.085000001</v>
      </c>
      <c r="K40" s="5">
        <f t="shared" si="7"/>
        <v>3639731.26</v>
      </c>
      <c r="L40" s="5">
        <f t="shared" si="8"/>
        <v>3890418.28</v>
      </c>
      <c r="M40" s="5">
        <f t="shared" si="9"/>
        <v>0</v>
      </c>
      <c r="N40" s="5"/>
      <c r="O40" s="5">
        <f>6522059.58-2577014</f>
        <v>3945045.58</v>
      </c>
      <c r="P40" s="5">
        <f>6595744.48-1133901</f>
        <v>5461843.48</v>
      </c>
      <c r="Q40" s="5">
        <f>7568593.63-3959861</f>
        <v>3608732.63</v>
      </c>
      <c r="R40" s="5">
        <f>8202407.72-4348055</f>
        <v>3854352.7199999997</v>
      </c>
      <c r="S40" s="5">
        <v>0</v>
      </c>
      <c r="T40" s="5"/>
      <c r="U40" s="5">
        <f>6248327.59-2371683</f>
        <v>3876644.59</v>
      </c>
      <c r="V40" s="5">
        <f>5975424.69-923140</f>
        <v>5052284.69</v>
      </c>
      <c r="W40" s="5">
        <f>7394924.89-3724195</f>
        <v>3670729.8899999997</v>
      </c>
      <c r="X40" s="5">
        <f>8019499.84-4093016</f>
        <v>3926483.84</v>
      </c>
      <c r="Y40" s="5">
        <v>0</v>
      </c>
    </row>
    <row r="41" spans="1:25" ht="12.75">
      <c r="A41" s="16">
        <f t="shared" si="0"/>
        <v>25</v>
      </c>
      <c r="B41" s="1" t="s">
        <v>242</v>
      </c>
      <c r="C41" s="5">
        <f t="shared" si="2"/>
        <v>2175713.25</v>
      </c>
      <c r="D41" s="5">
        <f t="shared" si="3"/>
        <v>2090893.9500000002</v>
      </c>
      <c r="E41" s="5"/>
      <c r="F41" s="5"/>
      <c r="G41" s="5">
        <f t="shared" si="4"/>
        <v>2133304</v>
      </c>
      <c r="H41" s="5"/>
      <c r="I41" s="5">
        <f t="shared" si="5"/>
        <v>0</v>
      </c>
      <c r="J41" s="5">
        <f t="shared" si="6"/>
        <v>2133303.6</v>
      </c>
      <c r="K41" s="5">
        <f t="shared" si="7"/>
        <v>0</v>
      </c>
      <c r="L41" s="5">
        <f t="shared" si="8"/>
        <v>0</v>
      </c>
      <c r="M41" s="5">
        <f t="shared" si="9"/>
        <v>0</v>
      </c>
      <c r="N41" s="5"/>
      <c r="O41" s="5">
        <v>0</v>
      </c>
      <c r="P41" s="5">
        <f>7260358.25-5084645</f>
        <v>2175713.25</v>
      </c>
      <c r="Q41" s="5">
        <v>0</v>
      </c>
      <c r="R41" s="5">
        <v>0</v>
      </c>
      <c r="S41" s="5">
        <v>0</v>
      </c>
      <c r="T41" s="5"/>
      <c r="U41" s="5">
        <v>0</v>
      </c>
      <c r="V41" s="5">
        <f>5836740.95-3745847</f>
        <v>2090893.9500000002</v>
      </c>
      <c r="W41" s="5">
        <v>0</v>
      </c>
      <c r="X41" s="5">
        <v>0</v>
      </c>
      <c r="Y41" s="5">
        <v>0</v>
      </c>
    </row>
    <row r="42" spans="1:25" ht="12.75">
      <c r="A42" s="16">
        <f t="shared" si="0"/>
        <v>26</v>
      </c>
      <c r="B42" s="1" t="s">
        <v>243</v>
      </c>
      <c r="C42" s="5">
        <f t="shared" si="2"/>
        <v>262832</v>
      </c>
      <c r="D42" s="5">
        <f t="shared" si="3"/>
        <v>328539</v>
      </c>
      <c r="E42" s="5"/>
      <c r="F42" s="5"/>
      <c r="G42" s="5">
        <f t="shared" si="4"/>
        <v>295686</v>
      </c>
      <c r="H42" s="5"/>
      <c r="I42" s="5">
        <f t="shared" si="5"/>
        <v>295685.5</v>
      </c>
      <c r="J42" s="5">
        <f t="shared" si="6"/>
        <v>0</v>
      </c>
      <c r="K42" s="5">
        <f t="shared" si="7"/>
        <v>0</v>
      </c>
      <c r="L42" s="5">
        <f t="shared" si="8"/>
        <v>0</v>
      </c>
      <c r="M42" s="5">
        <f t="shared" si="9"/>
        <v>0</v>
      </c>
      <c r="N42" s="5"/>
      <c r="O42" s="5">
        <f>1971237-1708405</f>
        <v>262832</v>
      </c>
      <c r="P42" s="5">
        <v>0</v>
      </c>
      <c r="Q42" s="5">
        <v>0</v>
      </c>
      <c r="R42" s="5">
        <v>0</v>
      </c>
      <c r="S42" s="5">
        <v>0</v>
      </c>
      <c r="T42" s="5"/>
      <c r="U42" s="5">
        <f>1971237-1642698</f>
        <v>328539</v>
      </c>
      <c r="V42" s="5">
        <v>0</v>
      </c>
      <c r="W42" s="5">
        <v>0</v>
      </c>
      <c r="X42" s="5">
        <v>0</v>
      </c>
      <c r="Y42" s="5">
        <v>0</v>
      </c>
    </row>
    <row r="43" spans="1:25" ht="12.75">
      <c r="A43" s="16">
        <f t="shared" si="0"/>
        <v>27</v>
      </c>
      <c r="B43" s="1" t="s">
        <v>244</v>
      </c>
      <c r="C43" s="5">
        <f t="shared" si="2"/>
        <v>817934.1500000004</v>
      </c>
      <c r="D43" s="5">
        <f t="shared" si="3"/>
        <v>990130.1500000004</v>
      </c>
      <c r="E43" s="5"/>
      <c r="F43" s="5"/>
      <c r="G43" s="5">
        <f t="shared" si="4"/>
        <v>904032</v>
      </c>
      <c r="H43" s="5"/>
      <c r="I43" s="5">
        <f t="shared" si="5"/>
        <v>0</v>
      </c>
      <c r="J43" s="5">
        <f t="shared" si="6"/>
        <v>0</v>
      </c>
      <c r="K43" s="5">
        <f t="shared" si="7"/>
        <v>904032.1500000004</v>
      </c>
      <c r="L43" s="5">
        <f t="shared" si="8"/>
        <v>0</v>
      </c>
      <c r="M43" s="5">
        <f t="shared" si="9"/>
        <v>0</v>
      </c>
      <c r="N43" s="5"/>
      <c r="O43" s="5">
        <v>0</v>
      </c>
      <c r="P43" s="5">
        <v>0</v>
      </c>
      <c r="Q43" s="5">
        <f>5165898.15-4347964</f>
        <v>817934.1500000004</v>
      </c>
      <c r="R43" s="5">
        <v>0</v>
      </c>
      <c r="S43" s="5">
        <v>0</v>
      </c>
      <c r="T43" s="5"/>
      <c r="U43" s="5">
        <v>0</v>
      </c>
      <c r="V43" s="5">
        <v>0</v>
      </c>
      <c r="W43" s="5">
        <f>5165898.15-4175768</f>
        <v>990130.1500000004</v>
      </c>
      <c r="X43" s="5">
        <v>0</v>
      </c>
      <c r="Y43" s="5">
        <v>0</v>
      </c>
    </row>
    <row r="44" spans="1:25" ht="12.75">
      <c r="A44" s="16">
        <f t="shared" si="0"/>
        <v>28</v>
      </c>
      <c r="B44" s="1" t="s">
        <v>245</v>
      </c>
      <c r="C44" s="5">
        <f t="shared" si="2"/>
        <v>3381065</v>
      </c>
      <c r="D44" s="5">
        <f t="shared" si="3"/>
        <v>4508086</v>
      </c>
      <c r="E44" s="5"/>
      <c r="F44" s="5"/>
      <c r="G44" s="5">
        <f t="shared" si="4"/>
        <v>3944576</v>
      </c>
      <c r="H44" s="5"/>
      <c r="I44" s="5">
        <f t="shared" si="5"/>
        <v>3944575.5</v>
      </c>
      <c r="J44" s="5">
        <f t="shared" si="6"/>
        <v>0</v>
      </c>
      <c r="K44" s="5">
        <f t="shared" si="7"/>
        <v>0</v>
      </c>
      <c r="L44" s="5">
        <f t="shared" si="8"/>
        <v>0</v>
      </c>
      <c r="M44" s="5">
        <f t="shared" si="9"/>
        <v>0</v>
      </c>
      <c r="N44" s="5"/>
      <c r="O44" s="5">
        <f>33810646-30429581</f>
        <v>3381065</v>
      </c>
      <c r="P44" s="5">
        <v>0</v>
      </c>
      <c r="Q44" s="5">
        <v>0</v>
      </c>
      <c r="R44" s="5">
        <v>0</v>
      </c>
      <c r="S44" s="5">
        <v>0</v>
      </c>
      <c r="T44" s="5"/>
      <c r="U44" s="5">
        <f>33810646-29302560</f>
        <v>4508086</v>
      </c>
      <c r="V44" s="5">
        <v>0</v>
      </c>
      <c r="W44" s="5">
        <v>0</v>
      </c>
      <c r="X44" s="5">
        <v>0</v>
      </c>
      <c r="Y44" s="5">
        <v>0</v>
      </c>
    </row>
    <row r="45" spans="1:25" ht="12.75">
      <c r="A45" s="16">
        <f t="shared" si="0"/>
        <v>29</v>
      </c>
      <c r="B45" s="1" t="s">
        <v>246</v>
      </c>
      <c r="C45" s="5">
        <f t="shared" si="2"/>
        <v>571844</v>
      </c>
      <c r="D45" s="5">
        <f t="shared" si="3"/>
        <v>654494</v>
      </c>
      <c r="E45" s="5"/>
      <c r="F45" s="5"/>
      <c r="G45" s="5">
        <f t="shared" si="4"/>
        <v>613169</v>
      </c>
      <c r="H45" s="5"/>
      <c r="I45" s="5">
        <f t="shared" si="5"/>
        <v>613169</v>
      </c>
      <c r="J45" s="5">
        <f t="shared" si="6"/>
        <v>0</v>
      </c>
      <c r="K45" s="5">
        <f t="shared" si="7"/>
        <v>0</v>
      </c>
      <c r="L45" s="5">
        <f t="shared" si="8"/>
        <v>0</v>
      </c>
      <c r="M45" s="5">
        <f t="shared" si="9"/>
        <v>0</v>
      </c>
      <c r="N45" s="5"/>
      <c r="O45" s="5">
        <f>2396891-1825047</f>
        <v>571844</v>
      </c>
      <c r="P45" s="5">
        <v>0</v>
      </c>
      <c r="Q45" s="5">
        <v>0</v>
      </c>
      <c r="R45" s="5">
        <v>0</v>
      </c>
      <c r="S45" s="5">
        <v>0</v>
      </c>
      <c r="T45" s="5"/>
      <c r="U45" s="5">
        <f>2396891-1742397</f>
        <v>654494</v>
      </c>
      <c r="V45" s="5">
        <v>0</v>
      </c>
      <c r="W45" s="5">
        <v>0</v>
      </c>
      <c r="X45" s="5">
        <v>0</v>
      </c>
      <c r="Y45" s="5">
        <v>0</v>
      </c>
    </row>
    <row r="46" spans="1:25" ht="12.75">
      <c r="A46" s="16">
        <f t="shared" si="0"/>
        <v>30</v>
      </c>
      <c r="B46" s="1" t="s">
        <v>247</v>
      </c>
      <c r="C46" s="5">
        <f t="shared" si="2"/>
        <v>425968.0099999998</v>
      </c>
      <c r="D46" s="5">
        <f t="shared" si="3"/>
        <v>567958.0099999998</v>
      </c>
      <c r="E46" s="5"/>
      <c r="F46" s="5"/>
      <c r="G46" s="5">
        <f t="shared" si="4"/>
        <v>496963</v>
      </c>
      <c r="H46" s="5"/>
      <c r="I46" s="5">
        <f t="shared" si="5"/>
        <v>0</v>
      </c>
      <c r="J46" s="5">
        <f t="shared" si="6"/>
        <v>0</v>
      </c>
      <c r="K46" s="5">
        <f t="shared" si="7"/>
        <v>496963.0099999998</v>
      </c>
      <c r="L46" s="5">
        <f t="shared" si="8"/>
        <v>0</v>
      </c>
      <c r="M46" s="5">
        <f t="shared" si="9"/>
        <v>0</v>
      </c>
      <c r="N46" s="5"/>
      <c r="O46" s="5">
        <v>0</v>
      </c>
      <c r="P46" s="5">
        <v>0</v>
      </c>
      <c r="Q46" s="5">
        <f>4259682.01-3833714</f>
        <v>425968.0099999998</v>
      </c>
      <c r="R46" s="5">
        <v>0</v>
      </c>
      <c r="S46" s="5">
        <v>0</v>
      </c>
      <c r="T46" s="5"/>
      <c r="U46" s="5">
        <v>0</v>
      </c>
      <c r="V46" s="5">
        <v>0</v>
      </c>
      <c r="W46" s="5">
        <f>4259682.01-3691724</f>
        <v>567958.0099999998</v>
      </c>
      <c r="X46" s="5">
        <v>0</v>
      </c>
      <c r="Y46" s="5">
        <v>0</v>
      </c>
    </row>
    <row r="47" spans="1:25" ht="12.75">
      <c r="A47" s="16">
        <f t="shared" si="0"/>
        <v>31</v>
      </c>
      <c r="B47" s="1" t="s">
        <v>248</v>
      </c>
      <c r="C47" s="5">
        <f t="shared" si="2"/>
        <v>-164074</v>
      </c>
      <c r="D47" s="5">
        <f t="shared" si="3"/>
        <v>-218766</v>
      </c>
      <c r="E47" s="5"/>
      <c r="F47" s="5"/>
      <c r="G47" s="5">
        <f t="shared" si="4"/>
        <v>-191420</v>
      </c>
      <c r="H47" s="5"/>
      <c r="I47" s="5">
        <f t="shared" si="5"/>
        <v>-191420</v>
      </c>
      <c r="J47" s="5">
        <f t="shared" si="6"/>
        <v>0</v>
      </c>
      <c r="K47" s="5">
        <f t="shared" si="7"/>
        <v>0</v>
      </c>
      <c r="L47" s="5">
        <f t="shared" si="8"/>
        <v>0</v>
      </c>
      <c r="M47" s="5">
        <f t="shared" si="9"/>
        <v>0</v>
      </c>
      <c r="N47" s="5"/>
      <c r="O47" s="5">
        <f>-1640743+1476669</f>
        <v>-164074</v>
      </c>
      <c r="P47" s="5">
        <v>0</v>
      </c>
      <c r="Q47" s="5">
        <v>0</v>
      </c>
      <c r="R47" s="5">
        <v>0</v>
      </c>
      <c r="S47" s="5">
        <v>0</v>
      </c>
      <c r="T47" s="5"/>
      <c r="U47" s="5">
        <f>-1640743+1421977</f>
        <v>-218766</v>
      </c>
      <c r="V47" s="5">
        <v>0</v>
      </c>
      <c r="W47" s="5">
        <v>0</v>
      </c>
      <c r="X47" s="5">
        <v>0</v>
      </c>
      <c r="Y47" s="5">
        <v>0</v>
      </c>
    </row>
    <row r="48" spans="1:25" ht="12.75">
      <c r="A48" s="16">
        <f t="shared" si="0"/>
        <v>32</v>
      </c>
      <c r="B48" s="3" t="s">
        <v>249</v>
      </c>
      <c r="C48" s="5">
        <f t="shared" si="2"/>
        <v>108015</v>
      </c>
      <c r="D48" s="5">
        <f t="shared" si="3"/>
        <v>161839</v>
      </c>
      <c r="E48" s="5"/>
      <c r="F48" s="5"/>
      <c r="G48" s="5">
        <f t="shared" si="4"/>
        <v>134927</v>
      </c>
      <c r="H48" s="5"/>
      <c r="I48" s="5">
        <f t="shared" si="5"/>
        <v>0</v>
      </c>
      <c r="J48" s="5">
        <f t="shared" si="6"/>
        <v>134927</v>
      </c>
      <c r="K48" s="5">
        <f t="shared" si="7"/>
        <v>0</v>
      </c>
      <c r="L48" s="5">
        <f t="shared" si="8"/>
        <v>0</v>
      </c>
      <c r="M48" s="5">
        <f t="shared" si="9"/>
        <v>0</v>
      </c>
      <c r="N48" s="5"/>
      <c r="O48" s="5">
        <v>0</v>
      </c>
      <c r="P48" s="5">
        <f>1345561-1237546</f>
        <v>108015</v>
      </c>
      <c r="Q48" s="5">
        <v>0</v>
      </c>
      <c r="R48" s="5">
        <v>0</v>
      </c>
      <c r="S48" s="5">
        <v>0</v>
      </c>
      <c r="T48" s="5"/>
      <c r="U48" s="5">
        <v>0</v>
      </c>
      <c r="V48" s="5">
        <f>1345561-1183722</f>
        <v>161839</v>
      </c>
      <c r="W48" s="5">
        <v>0</v>
      </c>
      <c r="X48" s="5">
        <v>0</v>
      </c>
      <c r="Y48" s="5">
        <v>0</v>
      </c>
    </row>
    <row r="49" spans="1:25" ht="12.75">
      <c r="A49" s="16">
        <f t="shared" si="0"/>
        <v>33</v>
      </c>
      <c r="B49" s="1" t="s">
        <v>250</v>
      </c>
      <c r="C49" s="5">
        <f t="shared" si="2"/>
        <v>22433</v>
      </c>
      <c r="D49" s="5">
        <f t="shared" si="3"/>
        <v>26172</v>
      </c>
      <c r="E49" s="5"/>
      <c r="F49" s="5"/>
      <c r="G49" s="5">
        <f t="shared" si="4"/>
        <v>24303</v>
      </c>
      <c r="H49" s="5"/>
      <c r="I49" s="5">
        <f t="shared" si="5"/>
        <v>24302.5</v>
      </c>
      <c r="J49" s="5">
        <f t="shared" si="6"/>
        <v>0</v>
      </c>
      <c r="K49" s="5">
        <f t="shared" si="7"/>
        <v>0</v>
      </c>
      <c r="L49" s="5">
        <f t="shared" si="8"/>
        <v>0</v>
      </c>
      <c r="M49" s="5">
        <f t="shared" si="9"/>
        <v>0</v>
      </c>
      <c r="N49" s="5"/>
      <c r="O49" s="5">
        <f>112163-89730</f>
        <v>22433</v>
      </c>
      <c r="P49" s="5">
        <v>0</v>
      </c>
      <c r="Q49" s="5">
        <v>0</v>
      </c>
      <c r="R49" s="5">
        <v>0</v>
      </c>
      <c r="S49" s="5">
        <v>0</v>
      </c>
      <c r="T49" s="5"/>
      <c r="U49" s="5">
        <f>112163-85991</f>
        <v>26172</v>
      </c>
      <c r="V49" s="5">
        <v>0</v>
      </c>
      <c r="W49" s="5">
        <v>0</v>
      </c>
      <c r="X49" s="5">
        <v>0</v>
      </c>
      <c r="Y49" s="5">
        <v>0</v>
      </c>
    </row>
    <row r="50" spans="1:25" ht="12.75">
      <c r="A50" s="16">
        <f aca="true" t="shared" si="10" ref="A50:A81">A49+1</f>
        <v>34</v>
      </c>
      <c r="B50" s="1" t="s">
        <v>251</v>
      </c>
      <c r="C50" s="5">
        <f t="shared" si="2"/>
        <v>71792</v>
      </c>
      <c r="D50" s="5">
        <f t="shared" si="3"/>
        <v>83758</v>
      </c>
      <c r="E50" s="5"/>
      <c r="F50" s="5"/>
      <c r="G50" s="5">
        <f t="shared" si="4"/>
        <v>77775</v>
      </c>
      <c r="H50" s="5"/>
      <c r="I50" s="5">
        <f t="shared" si="5"/>
        <v>77775</v>
      </c>
      <c r="J50" s="5">
        <f t="shared" si="6"/>
        <v>0</v>
      </c>
      <c r="K50" s="5">
        <f t="shared" si="7"/>
        <v>0</v>
      </c>
      <c r="L50" s="5">
        <f t="shared" si="8"/>
        <v>0</v>
      </c>
      <c r="M50" s="5">
        <f t="shared" si="9"/>
        <v>0</v>
      </c>
      <c r="N50" s="5"/>
      <c r="O50" s="5">
        <f>358962-287170</f>
        <v>71792</v>
      </c>
      <c r="P50" s="5">
        <v>0</v>
      </c>
      <c r="Q50" s="5">
        <v>0</v>
      </c>
      <c r="R50" s="5">
        <v>0</v>
      </c>
      <c r="S50" s="5">
        <v>0</v>
      </c>
      <c r="T50" s="5"/>
      <c r="U50" s="5">
        <f>358962-275204</f>
        <v>83758</v>
      </c>
      <c r="V50" s="5">
        <v>0</v>
      </c>
      <c r="W50" s="5">
        <v>0</v>
      </c>
      <c r="X50" s="5">
        <v>0</v>
      </c>
      <c r="Y50" s="5">
        <v>0</v>
      </c>
    </row>
    <row r="51" spans="1:25" ht="12.75">
      <c r="A51" s="16">
        <f t="shared" si="10"/>
        <v>35</v>
      </c>
      <c r="B51" s="34" t="s">
        <v>252</v>
      </c>
      <c r="C51" s="5">
        <f t="shared" si="2"/>
        <v>165137.75</v>
      </c>
      <c r="D51" s="5">
        <f t="shared" si="3"/>
        <v>241859.75</v>
      </c>
      <c r="E51" s="5"/>
      <c r="F51" s="5"/>
      <c r="G51" s="5">
        <f t="shared" si="4"/>
        <v>203499</v>
      </c>
      <c r="H51" s="5"/>
      <c r="I51" s="5">
        <f t="shared" si="5"/>
        <v>43767</v>
      </c>
      <c r="J51" s="5">
        <f t="shared" si="6"/>
        <v>490</v>
      </c>
      <c r="K51" s="5">
        <f t="shared" si="7"/>
        <v>75771.8500000001</v>
      </c>
      <c r="L51" s="5">
        <f t="shared" si="8"/>
        <v>83469.8999999999</v>
      </c>
      <c r="M51" s="5">
        <f t="shared" si="9"/>
        <v>0</v>
      </c>
      <c r="N51" s="5"/>
      <c r="O51" s="5">
        <f>694507-658990</f>
        <v>35517</v>
      </c>
      <c r="P51" s="5">
        <f>7739-7341</f>
        <v>398</v>
      </c>
      <c r="Q51" s="5">
        <f>1202372.85-1140885</f>
        <v>61487.85000000009</v>
      </c>
      <c r="R51" s="5">
        <f>1324509.9-1256775</f>
        <v>67734.8999999999</v>
      </c>
      <c r="S51" s="5">
        <v>0</v>
      </c>
      <c r="T51" s="5"/>
      <c r="U51" s="5">
        <f>694507-642490</f>
        <v>52017</v>
      </c>
      <c r="V51" s="5">
        <f>7739-7157</f>
        <v>582</v>
      </c>
      <c r="W51" s="5">
        <f>1202372.85-1112317</f>
        <v>90055.8500000001</v>
      </c>
      <c r="X51" s="5">
        <f>1324509.9-1225305</f>
        <v>99204.8999999999</v>
      </c>
      <c r="Y51" s="5">
        <v>0</v>
      </c>
    </row>
    <row r="52" spans="1:25" ht="12.75">
      <c r="A52" s="16">
        <f t="shared" si="10"/>
        <v>36</v>
      </c>
      <c r="B52" s="34" t="s">
        <v>253</v>
      </c>
      <c r="C52" s="5">
        <f t="shared" si="2"/>
        <v>29497</v>
      </c>
      <c r="D52" s="5">
        <f t="shared" si="3"/>
        <v>36872</v>
      </c>
      <c r="E52" s="5"/>
      <c r="F52" s="5"/>
      <c r="G52" s="5">
        <f t="shared" si="4"/>
        <v>33185</v>
      </c>
      <c r="H52" s="5"/>
      <c r="I52" s="5">
        <f t="shared" si="5"/>
        <v>33184.5</v>
      </c>
      <c r="J52" s="5">
        <f t="shared" si="6"/>
        <v>0</v>
      </c>
      <c r="K52" s="5">
        <f t="shared" si="7"/>
        <v>0</v>
      </c>
      <c r="L52" s="5">
        <f t="shared" si="8"/>
        <v>0</v>
      </c>
      <c r="M52" s="5">
        <f t="shared" si="9"/>
        <v>0</v>
      </c>
      <c r="N52" s="5"/>
      <c r="O52" s="5">
        <f>221230-191733</f>
        <v>29497</v>
      </c>
      <c r="P52" s="5">
        <v>0</v>
      </c>
      <c r="Q52" s="5">
        <v>0</v>
      </c>
      <c r="R52" s="5">
        <v>0</v>
      </c>
      <c r="S52" s="5">
        <v>0</v>
      </c>
      <c r="T52" s="5"/>
      <c r="U52" s="5">
        <f>221230-184358</f>
        <v>36872</v>
      </c>
      <c r="V52" s="5">
        <v>0</v>
      </c>
      <c r="W52" s="5">
        <v>0</v>
      </c>
      <c r="X52" s="5">
        <v>0</v>
      </c>
      <c r="Y52" s="5">
        <v>0</v>
      </c>
    </row>
    <row r="53" spans="1:25" ht="12.75">
      <c r="A53" s="16">
        <f t="shared" si="10"/>
        <v>37</v>
      </c>
      <c r="B53" s="34" t="s">
        <v>254</v>
      </c>
      <c r="C53" s="5">
        <f t="shared" si="2"/>
        <v>151483</v>
      </c>
      <c r="D53" s="5">
        <f t="shared" si="3"/>
        <v>183375</v>
      </c>
      <c r="E53" s="5"/>
      <c r="F53" s="5"/>
      <c r="G53" s="5">
        <f t="shared" si="4"/>
        <v>167429</v>
      </c>
      <c r="H53" s="5"/>
      <c r="I53" s="5">
        <f t="shared" si="5"/>
        <v>0</v>
      </c>
      <c r="J53" s="5">
        <f t="shared" si="6"/>
        <v>0</v>
      </c>
      <c r="K53" s="5">
        <f t="shared" si="7"/>
        <v>167429</v>
      </c>
      <c r="L53" s="5">
        <f t="shared" si="8"/>
        <v>0</v>
      </c>
      <c r="M53" s="5">
        <f t="shared" si="9"/>
        <v>0</v>
      </c>
      <c r="N53" s="5"/>
      <c r="O53" s="5">
        <v>0</v>
      </c>
      <c r="P53" s="5">
        <v>0</v>
      </c>
      <c r="Q53" s="5">
        <f>956739-805256</f>
        <v>151483</v>
      </c>
      <c r="R53" s="5">
        <v>0</v>
      </c>
      <c r="S53" s="5">
        <v>0</v>
      </c>
      <c r="T53" s="5"/>
      <c r="U53" s="5">
        <v>0</v>
      </c>
      <c r="V53" s="5">
        <v>0</v>
      </c>
      <c r="W53" s="5">
        <f>956739-773364</f>
        <v>183375</v>
      </c>
      <c r="X53" s="5">
        <v>0</v>
      </c>
      <c r="Y53" s="5">
        <v>0</v>
      </c>
    </row>
    <row r="54" spans="1:25" ht="12.75">
      <c r="A54" s="16">
        <f t="shared" si="10"/>
        <v>38</v>
      </c>
      <c r="B54" s="34" t="s">
        <v>255</v>
      </c>
      <c r="C54" s="5">
        <f t="shared" si="2"/>
        <v>36739</v>
      </c>
      <c r="D54" s="5">
        <f t="shared" si="3"/>
        <v>48985</v>
      </c>
      <c r="E54" s="5"/>
      <c r="F54" s="5"/>
      <c r="G54" s="5">
        <f t="shared" si="4"/>
        <v>42862</v>
      </c>
      <c r="H54" s="5"/>
      <c r="I54" s="5">
        <f t="shared" si="5"/>
        <v>42862</v>
      </c>
      <c r="J54" s="5">
        <f t="shared" si="6"/>
        <v>0</v>
      </c>
      <c r="K54" s="5">
        <f t="shared" si="7"/>
        <v>0</v>
      </c>
      <c r="L54" s="5">
        <f t="shared" si="8"/>
        <v>0</v>
      </c>
      <c r="M54" s="5">
        <f t="shared" si="9"/>
        <v>0</v>
      </c>
      <c r="N54" s="5"/>
      <c r="O54" s="5">
        <f>367387-330648</f>
        <v>36739</v>
      </c>
      <c r="P54" s="5">
        <v>0</v>
      </c>
      <c r="Q54" s="5">
        <v>0</v>
      </c>
      <c r="R54" s="5">
        <v>0</v>
      </c>
      <c r="S54" s="5">
        <v>0</v>
      </c>
      <c r="T54" s="5"/>
      <c r="U54" s="5">
        <f>367387-318402</f>
        <v>48985</v>
      </c>
      <c r="V54" s="5">
        <v>0</v>
      </c>
      <c r="W54" s="5">
        <v>0</v>
      </c>
      <c r="X54" s="5">
        <v>0</v>
      </c>
      <c r="Y54" s="5">
        <v>0</v>
      </c>
    </row>
    <row r="55" spans="1:25" ht="12.75">
      <c r="A55" s="16">
        <f t="shared" si="10"/>
        <v>39</v>
      </c>
      <c r="B55" s="34" t="s">
        <v>256</v>
      </c>
      <c r="C55" s="5">
        <f t="shared" si="2"/>
        <v>1613</v>
      </c>
      <c r="D55" s="5">
        <f t="shared" si="3"/>
        <v>1846</v>
      </c>
      <c r="E55" s="5"/>
      <c r="F55" s="5"/>
      <c r="G55" s="5">
        <f t="shared" si="4"/>
        <v>1730</v>
      </c>
      <c r="H55" s="5"/>
      <c r="I55" s="5">
        <f t="shared" si="5"/>
        <v>1729.5</v>
      </c>
      <c r="J55" s="5">
        <f t="shared" si="6"/>
        <v>0</v>
      </c>
      <c r="K55" s="5">
        <f t="shared" si="7"/>
        <v>0</v>
      </c>
      <c r="L55" s="5">
        <f t="shared" si="8"/>
        <v>0</v>
      </c>
      <c r="M55" s="5">
        <f t="shared" si="9"/>
        <v>0</v>
      </c>
      <c r="N55" s="5"/>
      <c r="O55" s="5">
        <f>6763-5150</f>
        <v>1613</v>
      </c>
      <c r="P55" s="5">
        <v>0</v>
      </c>
      <c r="Q55" s="5">
        <v>0</v>
      </c>
      <c r="R55" s="5">
        <v>0</v>
      </c>
      <c r="S55" s="5">
        <v>0</v>
      </c>
      <c r="T55" s="5"/>
      <c r="U55" s="5">
        <f>6763-4917</f>
        <v>1846</v>
      </c>
      <c r="V55" s="5">
        <v>0</v>
      </c>
      <c r="W55" s="5">
        <v>0</v>
      </c>
      <c r="X55" s="5">
        <v>0</v>
      </c>
      <c r="Y55" s="5">
        <v>0</v>
      </c>
    </row>
    <row r="56" spans="1:25" ht="12.75">
      <c r="A56" s="16">
        <f t="shared" si="10"/>
        <v>40</v>
      </c>
      <c r="B56" s="34" t="s">
        <v>257</v>
      </c>
      <c r="C56" s="5">
        <f t="shared" si="2"/>
        <v>78545</v>
      </c>
      <c r="D56" s="5">
        <f t="shared" si="3"/>
        <v>104727</v>
      </c>
      <c r="E56" s="5"/>
      <c r="F56" s="5"/>
      <c r="G56" s="5">
        <f t="shared" si="4"/>
        <v>91636</v>
      </c>
      <c r="H56" s="5"/>
      <c r="I56" s="5">
        <f t="shared" si="5"/>
        <v>0</v>
      </c>
      <c r="J56" s="5">
        <f t="shared" si="6"/>
        <v>0</v>
      </c>
      <c r="K56" s="5">
        <f t="shared" si="7"/>
        <v>91636</v>
      </c>
      <c r="L56" s="5">
        <f t="shared" si="8"/>
        <v>0</v>
      </c>
      <c r="M56" s="5">
        <f t="shared" si="9"/>
        <v>0</v>
      </c>
      <c r="N56" s="5"/>
      <c r="O56" s="5">
        <v>0</v>
      </c>
      <c r="P56" s="5">
        <v>0</v>
      </c>
      <c r="Q56" s="5">
        <f>785450-706905</f>
        <v>78545</v>
      </c>
      <c r="R56" s="5">
        <v>0</v>
      </c>
      <c r="S56" s="5">
        <v>0</v>
      </c>
      <c r="T56" s="5"/>
      <c r="U56" s="5">
        <v>0</v>
      </c>
      <c r="V56" s="5">
        <v>0</v>
      </c>
      <c r="W56" s="5">
        <f>785450-680723</f>
        <v>104727</v>
      </c>
      <c r="X56" s="5">
        <v>0</v>
      </c>
      <c r="Y56" s="5">
        <v>0</v>
      </c>
    </row>
    <row r="57" spans="1:25" ht="12.75">
      <c r="A57" s="16">
        <f t="shared" si="10"/>
        <v>41</v>
      </c>
      <c r="B57" s="34" t="s">
        <v>258</v>
      </c>
      <c r="C57" s="5">
        <f t="shared" si="2"/>
        <v>13581.950000000012</v>
      </c>
      <c r="D57" s="5">
        <f t="shared" si="3"/>
        <v>25814.95000000001</v>
      </c>
      <c r="E57" s="5"/>
      <c r="F57" s="5"/>
      <c r="G57" s="5">
        <f t="shared" si="4"/>
        <v>19698</v>
      </c>
      <c r="H57" s="5"/>
      <c r="I57" s="5">
        <f t="shared" si="5"/>
        <v>4238.5</v>
      </c>
      <c r="J57" s="5">
        <f t="shared" si="6"/>
        <v>41.5</v>
      </c>
      <c r="K57" s="5">
        <f t="shared" si="7"/>
        <v>7336.5</v>
      </c>
      <c r="L57" s="5">
        <f t="shared" si="8"/>
        <v>8081.950000000012</v>
      </c>
      <c r="M57" s="5">
        <f t="shared" si="9"/>
        <v>0</v>
      </c>
      <c r="N57" s="5"/>
      <c r="O57" s="5">
        <f>208642-205719</f>
        <v>2923</v>
      </c>
      <c r="P57" s="5">
        <f>2179-2151</f>
        <v>28</v>
      </c>
      <c r="Q57" s="5">
        <f>361214-356156</f>
        <v>5058</v>
      </c>
      <c r="R57" s="5">
        <f>397906.95-392334</f>
        <v>5572.950000000012</v>
      </c>
      <c r="S57" s="5">
        <v>0</v>
      </c>
      <c r="T57" s="5"/>
      <c r="U57" s="5">
        <f>208642-203088</f>
        <v>5554</v>
      </c>
      <c r="V57" s="5">
        <f>2179-2124</f>
        <v>55</v>
      </c>
      <c r="W57" s="5">
        <f>361214-351599</f>
        <v>9615</v>
      </c>
      <c r="X57" s="5">
        <f>397906.95-387316</f>
        <v>10590.950000000012</v>
      </c>
      <c r="Y57" s="5">
        <v>0</v>
      </c>
    </row>
    <row r="58" spans="1:25" ht="12.75">
      <c r="A58" s="16">
        <f t="shared" si="10"/>
        <v>42</v>
      </c>
      <c r="B58" s="3" t="s">
        <v>259</v>
      </c>
      <c r="C58" s="5">
        <f t="shared" si="2"/>
        <v>1693.9500000000007</v>
      </c>
      <c r="D58" s="5">
        <f t="shared" si="3"/>
        <v>2050.9500000000007</v>
      </c>
      <c r="E58" s="5"/>
      <c r="F58" s="5"/>
      <c r="G58" s="5">
        <f t="shared" si="4"/>
        <v>1872</v>
      </c>
      <c r="H58" s="5"/>
      <c r="I58" s="5">
        <f t="shared" si="5"/>
        <v>0</v>
      </c>
      <c r="J58" s="5">
        <f t="shared" si="6"/>
        <v>0</v>
      </c>
      <c r="K58" s="5">
        <f t="shared" si="7"/>
        <v>1872.4500000000007</v>
      </c>
      <c r="L58" s="5">
        <f t="shared" si="8"/>
        <v>0</v>
      </c>
      <c r="M58" s="5">
        <f t="shared" si="9"/>
        <v>0</v>
      </c>
      <c r="N58" s="5"/>
      <c r="O58" s="5">
        <v>0</v>
      </c>
      <c r="P58" s="5">
        <v>0</v>
      </c>
      <c r="Q58" s="5">
        <f>10701.95-9008</f>
        <v>1693.9500000000007</v>
      </c>
      <c r="R58" s="5">
        <v>0</v>
      </c>
      <c r="S58" s="5">
        <v>0</v>
      </c>
      <c r="T58" s="5"/>
      <c r="U58" s="5">
        <v>0</v>
      </c>
      <c r="V58" s="5">
        <v>0</v>
      </c>
      <c r="W58" s="5">
        <f>10701.95-8651</f>
        <v>2050.9500000000007</v>
      </c>
      <c r="X58" s="5">
        <v>0</v>
      </c>
      <c r="Y58" s="5">
        <v>0</v>
      </c>
    </row>
    <row r="59" spans="1:25" ht="12.75">
      <c r="A59" s="16">
        <f t="shared" si="10"/>
        <v>43</v>
      </c>
      <c r="B59" s="3" t="s">
        <v>260</v>
      </c>
      <c r="C59" s="5">
        <f t="shared" si="2"/>
        <v>1756</v>
      </c>
      <c r="D59" s="5">
        <f t="shared" si="3"/>
        <v>2195</v>
      </c>
      <c r="E59" s="5"/>
      <c r="F59" s="5"/>
      <c r="G59" s="5">
        <f t="shared" si="4"/>
        <v>1976</v>
      </c>
      <c r="H59" s="5"/>
      <c r="I59" s="5">
        <f t="shared" si="5"/>
        <v>1975.5</v>
      </c>
      <c r="J59" s="5">
        <f t="shared" si="6"/>
        <v>0</v>
      </c>
      <c r="K59" s="5">
        <f t="shared" si="7"/>
        <v>0</v>
      </c>
      <c r="L59" s="5">
        <f t="shared" si="8"/>
        <v>0</v>
      </c>
      <c r="M59" s="5">
        <f t="shared" si="9"/>
        <v>0</v>
      </c>
      <c r="N59" s="5"/>
      <c r="O59" s="5">
        <f>13172-11416</f>
        <v>1756</v>
      </c>
      <c r="P59" s="5">
        <v>0</v>
      </c>
      <c r="Q59" s="5">
        <v>0</v>
      </c>
      <c r="R59" s="5">
        <v>0</v>
      </c>
      <c r="S59" s="5">
        <v>0</v>
      </c>
      <c r="T59" s="5"/>
      <c r="U59" s="5">
        <f>13172-10977</f>
        <v>2195</v>
      </c>
      <c r="V59" s="5">
        <v>0</v>
      </c>
      <c r="W59" s="5">
        <v>0</v>
      </c>
      <c r="X59" s="5">
        <v>0</v>
      </c>
      <c r="Y59" s="5">
        <v>0</v>
      </c>
    </row>
    <row r="60" spans="1:25" ht="12.75">
      <c r="A60" s="16">
        <f t="shared" si="10"/>
        <v>44</v>
      </c>
      <c r="B60" s="3" t="s">
        <v>261</v>
      </c>
      <c r="C60" s="5">
        <f aca="true" t="shared" si="11" ref="C60:C79">SUM(O60:S60)</f>
        <v>2593</v>
      </c>
      <c r="D60" s="5">
        <f aca="true" t="shared" si="12" ref="D60:D79">SUM(U60:Y60)</f>
        <v>3458</v>
      </c>
      <c r="E60" s="5"/>
      <c r="F60" s="5"/>
      <c r="G60" s="5">
        <f aca="true" t="shared" si="13" ref="G60:G82">ROUND(SUM(C60:F60)/2,0)</f>
        <v>3026</v>
      </c>
      <c r="H60" s="5"/>
      <c r="I60" s="5">
        <f aca="true" t="shared" si="14" ref="I60:I79">(+O60+U60)/2</f>
        <v>3025.5</v>
      </c>
      <c r="J60" s="5">
        <f aca="true" t="shared" si="15" ref="J60:J79">(+P60+V60)/2</f>
        <v>0</v>
      </c>
      <c r="K60" s="5">
        <f aca="true" t="shared" si="16" ref="K60:K79">(+Q60+W60)/2</f>
        <v>0</v>
      </c>
      <c r="L60" s="5">
        <f aca="true" t="shared" si="17" ref="L60:L79">(+R60+X60)/2</f>
        <v>0</v>
      </c>
      <c r="M60" s="5">
        <f aca="true" t="shared" si="18" ref="M60:M79">(+S60+Y60)/2</f>
        <v>0</v>
      </c>
      <c r="N60" s="5"/>
      <c r="O60" s="5">
        <f>25934-23341</f>
        <v>2593</v>
      </c>
      <c r="P60" s="5">
        <v>0</v>
      </c>
      <c r="Q60" s="5">
        <v>0</v>
      </c>
      <c r="R60" s="5">
        <v>0</v>
      </c>
      <c r="S60" s="5">
        <v>0</v>
      </c>
      <c r="T60" s="5"/>
      <c r="U60" s="5">
        <f>25934-22476</f>
        <v>3458</v>
      </c>
      <c r="V60" s="5">
        <v>0</v>
      </c>
      <c r="W60" s="5">
        <v>0</v>
      </c>
      <c r="X60" s="5">
        <v>0</v>
      </c>
      <c r="Y60" s="5">
        <v>0</v>
      </c>
    </row>
    <row r="61" spans="1:25" ht="12.75">
      <c r="A61" s="16">
        <f t="shared" si="10"/>
        <v>45</v>
      </c>
      <c r="B61" s="3" t="s">
        <v>262</v>
      </c>
      <c r="C61" s="5">
        <f t="shared" si="11"/>
        <v>1552</v>
      </c>
      <c r="D61" s="5">
        <f t="shared" si="12"/>
        <v>2069</v>
      </c>
      <c r="E61" s="5"/>
      <c r="F61" s="5"/>
      <c r="G61" s="5">
        <f t="shared" si="13"/>
        <v>1811</v>
      </c>
      <c r="H61" s="5"/>
      <c r="I61" s="5">
        <f t="shared" si="14"/>
        <v>0</v>
      </c>
      <c r="J61" s="5">
        <f t="shared" si="15"/>
        <v>0</v>
      </c>
      <c r="K61" s="5">
        <f t="shared" si="16"/>
        <v>1810.5</v>
      </c>
      <c r="L61" s="5">
        <f t="shared" si="17"/>
        <v>0</v>
      </c>
      <c r="M61" s="5">
        <f t="shared" si="18"/>
        <v>0</v>
      </c>
      <c r="N61" s="5"/>
      <c r="O61" s="5">
        <v>0</v>
      </c>
      <c r="P61" s="5">
        <v>0</v>
      </c>
      <c r="Q61" s="5">
        <f>15517-13965</f>
        <v>1552</v>
      </c>
      <c r="R61" s="5">
        <v>0</v>
      </c>
      <c r="S61" s="5">
        <v>0</v>
      </c>
      <c r="T61" s="5"/>
      <c r="U61" s="5">
        <v>0</v>
      </c>
      <c r="V61" s="5">
        <v>0</v>
      </c>
      <c r="W61" s="5">
        <f>15517-13448</f>
        <v>2069</v>
      </c>
      <c r="X61" s="5">
        <v>0</v>
      </c>
      <c r="Y61" s="5">
        <v>0</v>
      </c>
    </row>
    <row r="62" spans="1:25" ht="12.75">
      <c r="A62" s="16">
        <f t="shared" si="10"/>
        <v>46</v>
      </c>
      <c r="B62" s="1" t="s">
        <v>34</v>
      </c>
      <c r="C62" s="5">
        <f t="shared" si="11"/>
        <v>7039.7</v>
      </c>
      <c r="D62" s="5">
        <f t="shared" si="12"/>
        <v>12768.85</v>
      </c>
      <c r="E62" s="5"/>
      <c r="F62" s="5"/>
      <c r="G62" s="5">
        <f t="shared" si="13"/>
        <v>9904</v>
      </c>
      <c r="H62" s="5"/>
      <c r="I62" s="5">
        <f t="shared" si="14"/>
        <v>2696.325</v>
      </c>
      <c r="J62" s="5">
        <f t="shared" si="15"/>
        <v>-1098.725</v>
      </c>
      <c r="K62" s="5">
        <f t="shared" si="16"/>
        <v>4648.325</v>
      </c>
      <c r="L62" s="5">
        <f t="shared" si="17"/>
        <v>3658.35</v>
      </c>
      <c r="M62" s="5">
        <f t="shared" si="18"/>
        <v>0</v>
      </c>
      <c r="N62" s="5"/>
      <c r="O62" s="5">
        <v>2044.8</v>
      </c>
      <c r="P62" s="5">
        <f>10.25</f>
        <v>10.25</v>
      </c>
      <c r="Q62" s="5">
        <f>3742.35</f>
        <v>3742.35</v>
      </c>
      <c r="R62" s="5">
        <v>1242.3</v>
      </c>
      <c r="S62" s="5">
        <v>0</v>
      </c>
      <c r="T62" s="5"/>
      <c r="U62" s="5">
        <v>3347.85</v>
      </c>
      <c r="V62" s="5">
        <v>-2207.7</v>
      </c>
      <c r="W62" s="5">
        <v>5554.3</v>
      </c>
      <c r="X62" s="5">
        <v>6074.4</v>
      </c>
      <c r="Y62" s="5">
        <v>0</v>
      </c>
    </row>
    <row r="63" spans="1:25" ht="12.75">
      <c r="A63" s="16">
        <f t="shared" si="10"/>
        <v>47</v>
      </c>
      <c r="B63" s="3" t="s">
        <v>263</v>
      </c>
      <c r="C63" s="5">
        <f t="shared" si="11"/>
        <v>18727.850000000006</v>
      </c>
      <c r="D63" s="5">
        <f t="shared" si="12"/>
        <v>27875.850000000006</v>
      </c>
      <c r="E63" s="5"/>
      <c r="F63" s="5"/>
      <c r="G63" s="5">
        <f t="shared" si="13"/>
        <v>23302</v>
      </c>
      <c r="H63" s="5"/>
      <c r="I63" s="5">
        <f t="shared" si="14"/>
        <v>5012</v>
      </c>
      <c r="J63" s="5">
        <f t="shared" si="15"/>
        <v>55.5</v>
      </c>
      <c r="K63" s="5">
        <f t="shared" si="16"/>
        <v>8676</v>
      </c>
      <c r="L63" s="5">
        <f t="shared" si="17"/>
        <v>9558.350000000006</v>
      </c>
      <c r="M63" s="5">
        <f t="shared" si="18"/>
        <v>0</v>
      </c>
      <c r="N63" s="5"/>
      <c r="O63" s="5">
        <f>92190-88162</f>
        <v>4028</v>
      </c>
      <c r="P63" s="5">
        <f>370-326</f>
        <v>44</v>
      </c>
      <c r="Q63" s="5">
        <f>159607-152634</f>
        <v>6973</v>
      </c>
      <c r="R63" s="5">
        <f>175822.85-168140</f>
        <v>7682.850000000006</v>
      </c>
      <c r="S63" s="5">
        <v>0</v>
      </c>
      <c r="T63" s="5"/>
      <c r="U63" s="5">
        <f>92190-86194</f>
        <v>5996</v>
      </c>
      <c r="V63" s="5">
        <f>370-303</f>
        <v>67</v>
      </c>
      <c r="W63" s="5">
        <f>159607-149228</f>
        <v>10379</v>
      </c>
      <c r="X63" s="5">
        <f>175822.85-164389</f>
        <v>11433.850000000006</v>
      </c>
      <c r="Y63" s="5">
        <v>0</v>
      </c>
    </row>
    <row r="64" spans="1:25" ht="12.75">
      <c r="A64" s="16">
        <f t="shared" si="10"/>
        <v>48</v>
      </c>
      <c r="B64" s="3" t="s">
        <v>264</v>
      </c>
      <c r="C64" s="5">
        <f t="shared" si="11"/>
        <v>956</v>
      </c>
      <c r="D64" s="5">
        <f t="shared" si="12"/>
        <v>1158</v>
      </c>
      <c r="E64" s="5"/>
      <c r="F64" s="5"/>
      <c r="G64" s="5">
        <f t="shared" si="13"/>
        <v>1057</v>
      </c>
      <c r="H64" s="5"/>
      <c r="I64" s="5">
        <f t="shared" si="14"/>
        <v>0</v>
      </c>
      <c r="J64" s="5">
        <f t="shared" si="15"/>
        <v>0</v>
      </c>
      <c r="K64" s="5">
        <f t="shared" si="16"/>
        <v>1057</v>
      </c>
      <c r="L64" s="5">
        <f t="shared" si="17"/>
        <v>0</v>
      </c>
      <c r="M64" s="5">
        <f t="shared" si="18"/>
        <v>0</v>
      </c>
      <c r="N64" s="5"/>
      <c r="O64" s="5">
        <v>0</v>
      </c>
      <c r="P64" s="5">
        <v>0</v>
      </c>
      <c r="Q64" s="5">
        <f>6042-5086</f>
        <v>956</v>
      </c>
      <c r="R64" s="5">
        <v>0</v>
      </c>
      <c r="S64" s="5">
        <v>0</v>
      </c>
      <c r="T64" s="5"/>
      <c r="U64" s="5">
        <v>0</v>
      </c>
      <c r="V64" s="5">
        <v>0</v>
      </c>
      <c r="W64" s="5">
        <f>6042-4884</f>
        <v>1158</v>
      </c>
      <c r="X64" s="5">
        <v>0</v>
      </c>
      <c r="Y64" s="5">
        <v>0</v>
      </c>
    </row>
    <row r="65" spans="1:25" ht="12.75">
      <c r="A65" s="16">
        <f t="shared" si="10"/>
        <v>49</v>
      </c>
      <c r="B65" s="3" t="s">
        <v>265</v>
      </c>
      <c r="C65" s="5">
        <f t="shared" si="11"/>
        <v>2933</v>
      </c>
      <c r="D65" s="5">
        <f t="shared" si="12"/>
        <v>3667</v>
      </c>
      <c r="E65" s="5"/>
      <c r="F65" s="5"/>
      <c r="G65" s="5">
        <f t="shared" si="13"/>
        <v>3300</v>
      </c>
      <c r="H65" s="5"/>
      <c r="I65" s="5">
        <f t="shared" si="14"/>
        <v>3300</v>
      </c>
      <c r="J65" s="5">
        <f t="shared" si="15"/>
        <v>0</v>
      </c>
      <c r="K65" s="5">
        <f t="shared" si="16"/>
        <v>0</v>
      </c>
      <c r="L65" s="5">
        <f t="shared" si="17"/>
        <v>0</v>
      </c>
      <c r="M65" s="5">
        <f t="shared" si="18"/>
        <v>0</v>
      </c>
      <c r="N65" s="5"/>
      <c r="O65" s="5">
        <f>22000-19067</f>
        <v>2933</v>
      </c>
      <c r="P65" s="5">
        <v>0</v>
      </c>
      <c r="Q65" s="5">
        <v>0</v>
      </c>
      <c r="R65" s="5">
        <v>0</v>
      </c>
      <c r="S65" s="5">
        <v>0</v>
      </c>
      <c r="T65" s="5"/>
      <c r="U65" s="5">
        <f>22000-18333</f>
        <v>3667</v>
      </c>
      <c r="V65" s="5">
        <v>0</v>
      </c>
      <c r="W65" s="5">
        <v>0</v>
      </c>
      <c r="X65" s="5">
        <v>0</v>
      </c>
      <c r="Y65" s="5">
        <v>0</v>
      </c>
    </row>
    <row r="66" spans="1:25" ht="12.75">
      <c r="A66" s="16">
        <f t="shared" si="10"/>
        <v>50</v>
      </c>
      <c r="B66" s="3" t="s">
        <v>266</v>
      </c>
      <c r="C66" s="5">
        <f t="shared" si="11"/>
        <v>857</v>
      </c>
      <c r="D66" s="5">
        <f t="shared" si="12"/>
        <v>1143</v>
      </c>
      <c r="E66" s="5"/>
      <c r="F66" s="5"/>
      <c r="G66" s="5">
        <f t="shared" si="13"/>
        <v>1000</v>
      </c>
      <c r="H66" s="5"/>
      <c r="I66" s="5">
        <f t="shared" si="14"/>
        <v>1000</v>
      </c>
      <c r="J66" s="5">
        <f t="shared" si="15"/>
        <v>0</v>
      </c>
      <c r="K66" s="5">
        <f t="shared" si="16"/>
        <v>0</v>
      </c>
      <c r="L66" s="5">
        <f t="shared" si="17"/>
        <v>0</v>
      </c>
      <c r="M66" s="5">
        <f t="shared" si="18"/>
        <v>0</v>
      </c>
      <c r="N66" s="5"/>
      <c r="O66" s="5">
        <f>8572-7715</f>
        <v>857</v>
      </c>
      <c r="P66" s="5">
        <v>0</v>
      </c>
      <c r="Q66" s="5">
        <v>0</v>
      </c>
      <c r="R66" s="5">
        <v>0</v>
      </c>
      <c r="S66" s="5">
        <v>0</v>
      </c>
      <c r="T66" s="5"/>
      <c r="U66" s="5">
        <f>8572-7429</f>
        <v>1143</v>
      </c>
      <c r="V66" s="5">
        <v>0</v>
      </c>
      <c r="W66" s="5">
        <v>0</v>
      </c>
      <c r="X66" s="5">
        <v>0</v>
      </c>
      <c r="Y66" s="5">
        <v>0</v>
      </c>
    </row>
    <row r="67" spans="1:25" ht="12.75">
      <c r="A67" s="16">
        <f t="shared" si="10"/>
        <v>51</v>
      </c>
      <c r="B67" s="3" t="s">
        <v>267</v>
      </c>
      <c r="C67" s="5">
        <f t="shared" si="11"/>
        <v>607</v>
      </c>
      <c r="D67" s="5">
        <f t="shared" si="12"/>
        <v>809</v>
      </c>
      <c r="E67" s="5"/>
      <c r="F67" s="5"/>
      <c r="G67" s="5">
        <f t="shared" si="13"/>
        <v>708</v>
      </c>
      <c r="H67" s="5"/>
      <c r="I67" s="5">
        <f t="shared" si="14"/>
        <v>0</v>
      </c>
      <c r="J67" s="5">
        <f t="shared" si="15"/>
        <v>0</v>
      </c>
      <c r="K67" s="5">
        <f t="shared" si="16"/>
        <v>708</v>
      </c>
      <c r="L67" s="5">
        <f t="shared" si="17"/>
        <v>0</v>
      </c>
      <c r="M67" s="5">
        <f t="shared" si="18"/>
        <v>0</v>
      </c>
      <c r="N67" s="5"/>
      <c r="O67" s="5">
        <v>0</v>
      </c>
      <c r="P67" s="5">
        <v>0</v>
      </c>
      <c r="Q67" s="5">
        <f>6069-5462</f>
        <v>607</v>
      </c>
      <c r="R67" s="5">
        <v>0</v>
      </c>
      <c r="S67" s="5">
        <v>0</v>
      </c>
      <c r="T67" s="5"/>
      <c r="U67" s="5">
        <v>0</v>
      </c>
      <c r="V67" s="5">
        <v>0</v>
      </c>
      <c r="W67" s="5">
        <f>6069-5260</f>
        <v>809</v>
      </c>
      <c r="X67" s="5">
        <v>0</v>
      </c>
      <c r="Y67" s="5">
        <v>0</v>
      </c>
    </row>
    <row r="68" spans="1:25" ht="12.75">
      <c r="A68" s="16">
        <f t="shared" si="10"/>
        <v>52</v>
      </c>
      <c r="B68" s="3" t="s">
        <v>268</v>
      </c>
      <c r="C68" s="5">
        <f t="shared" si="11"/>
        <v>-427590.1</v>
      </c>
      <c r="D68" s="5">
        <f t="shared" si="12"/>
        <v>-946902.6</v>
      </c>
      <c r="E68" s="5"/>
      <c r="F68" s="5"/>
      <c r="G68" s="5">
        <f t="shared" si="13"/>
        <v>-687246</v>
      </c>
      <c r="H68" s="5"/>
      <c r="I68" s="5">
        <f t="shared" si="14"/>
        <v>0</v>
      </c>
      <c r="J68" s="5">
        <f t="shared" si="15"/>
        <v>0</v>
      </c>
      <c r="K68" s="5">
        <f t="shared" si="16"/>
        <v>-687246.35</v>
      </c>
      <c r="L68" s="5">
        <f t="shared" si="17"/>
        <v>0</v>
      </c>
      <c r="M68" s="5">
        <f t="shared" si="18"/>
        <v>0</v>
      </c>
      <c r="N68" s="5"/>
      <c r="O68" s="5">
        <v>0</v>
      </c>
      <c r="P68" s="5">
        <v>0</v>
      </c>
      <c r="Q68" s="5">
        <f>-427590.1</f>
        <v>-427590.1</v>
      </c>
      <c r="R68" s="5">
        <v>0</v>
      </c>
      <c r="S68" s="5">
        <v>0</v>
      </c>
      <c r="T68" s="5"/>
      <c r="U68" s="5">
        <v>0</v>
      </c>
      <c r="V68" s="5">
        <v>0</v>
      </c>
      <c r="W68" s="5">
        <v>-946902.6</v>
      </c>
      <c r="X68" s="5">
        <v>0</v>
      </c>
      <c r="Y68" s="5">
        <v>0</v>
      </c>
    </row>
    <row r="69" spans="1:25" ht="12.75">
      <c r="A69" s="16">
        <f t="shared" si="10"/>
        <v>53</v>
      </c>
      <c r="B69" s="1" t="s">
        <v>269</v>
      </c>
      <c r="C69" s="5">
        <f t="shared" si="11"/>
        <v>100733</v>
      </c>
      <c r="D69" s="5">
        <f t="shared" si="12"/>
        <v>114164</v>
      </c>
      <c r="E69" s="5"/>
      <c r="F69" s="5"/>
      <c r="G69" s="5">
        <f t="shared" si="13"/>
        <v>107449</v>
      </c>
      <c r="H69" s="5"/>
      <c r="I69" s="5">
        <f t="shared" si="14"/>
        <v>107448.5</v>
      </c>
      <c r="J69" s="5">
        <f t="shared" si="15"/>
        <v>0</v>
      </c>
      <c r="K69" s="5">
        <f t="shared" si="16"/>
        <v>0</v>
      </c>
      <c r="L69" s="5">
        <f t="shared" si="17"/>
        <v>0</v>
      </c>
      <c r="M69" s="5">
        <f t="shared" si="18"/>
        <v>0</v>
      </c>
      <c r="N69" s="5"/>
      <c r="O69" s="5">
        <f>402933-302200</f>
        <v>100733</v>
      </c>
      <c r="P69" s="5">
        <v>0</v>
      </c>
      <c r="Q69" s="5">
        <v>0</v>
      </c>
      <c r="R69" s="5">
        <v>0</v>
      </c>
      <c r="S69" s="5">
        <v>0</v>
      </c>
      <c r="T69" s="5"/>
      <c r="U69" s="5">
        <f>402933-288769</f>
        <v>114164</v>
      </c>
      <c r="V69" s="5">
        <v>0</v>
      </c>
      <c r="W69" s="5">
        <v>0</v>
      </c>
      <c r="X69" s="5">
        <v>0</v>
      </c>
      <c r="Y69" s="5">
        <v>0</v>
      </c>
    </row>
    <row r="70" spans="1:25" ht="12.75">
      <c r="A70" s="16">
        <f t="shared" si="10"/>
        <v>54</v>
      </c>
      <c r="B70" s="1" t="s">
        <v>36</v>
      </c>
      <c r="C70" s="5">
        <f t="shared" si="11"/>
        <v>22884884.6</v>
      </c>
      <c r="D70" s="5">
        <f t="shared" si="12"/>
        <v>25731625.6</v>
      </c>
      <c r="E70" s="5"/>
      <c r="F70" s="5"/>
      <c r="G70" s="5">
        <f t="shared" si="13"/>
        <v>24308255</v>
      </c>
      <c r="H70" s="5"/>
      <c r="I70" s="5">
        <f t="shared" si="14"/>
        <v>6793140.6</v>
      </c>
      <c r="J70" s="5">
        <f t="shared" si="15"/>
        <v>933665</v>
      </c>
      <c r="K70" s="5">
        <f t="shared" si="16"/>
        <v>3275942.75</v>
      </c>
      <c r="L70" s="5">
        <f t="shared" si="17"/>
        <v>13305506.75</v>
      </c>
      <c r="M70" s="5">
        <f t="shared" si="18"/>
        <v>0</v>
      </c>
      <c r="N70" s="5"/>
      <c r="O70" s="5">
        <f>13321272.1-6730787</f>
        <v>6590485.1</v>
      </c>
      <c r="P70" s="5">
        <f>4477738-3606355</f>
        <v>871383</v>
      </c>
      <c r="Q70" s="5">
        <f>11940902.75-8834971</f>
        <v>3105931.75</v>
      </c>
      <c r="R70" s="5">
        <f>31934764.75-19617680</f>
        <v>12317084.75</v>
      </c>
      <c r="S70" s="5">
        <v>0</v>
      </c>
      <c r="T70" s="5"/>
      <c r="U70" s="5">
        <f>13321272.1-6325476</f>
        <v>6995796.1</v>
      </c>
      <c r="V70" s="5">
        <f>4477738-3481791</f>
        <v>995947</v>
      </c>
      <c r="W70" s="5">
        <f>11940902.75-8494949</f>
        <v>3445953.75</v>
      </c>
      <c r="X70" s="5">
        <f>32984764.75-18690836</f>
        <v>14293928.75</v>
      </c>
      <c r="Y70" s="5">
        <v>0</v>
      </c>
    </row>
    <row r="71" spans="1:25" ht="12.75">
      <c r="A71" s="16">
        <f t="shared" si="10"/>
        <v>55</v>
      </c>
      <c r="B71" s="3" t="s">
        <v>114</v>
      </c>
      <c r="C71" s="5">
        <f t="shared" si="11"/>
        <v>53643642.5</v>
      </c>
      <c r="D71" s="5">
        <f t="shared" si="12"/>
        <v>29324791.3</v>
      </c>
      <c r="E71" s="5"/>
      <c r="F71" s="5"/>
      <c r="G71" s="5">
        <f t="shared" si="13"/>
        <v>41484217</v>
      </c>
      <c r="H71" s="5"/>
      <c r="I71" s="5">
        <f t="shared" si="14"/>
        <v>24488562.35</v>
      </c>
      <c r="J71" s="5">
        <f t="shared" si="15"/>
        <v>16995654.549999997</v>
      </c>
      <c r="K71" s="5">
        <f t="shared" si="16"/>
        <v>0</v>
      </c>
      <c r="L71" s="5">
        <f t="shared" si="17"/>
        <v>0</v>
      </c>
      <c r="M71" s="5">
        <f t="shared" si="18"/>
        <v>0</v>
      </c>
      <c r="N71" s="5"/>
      <c r="O71" s="5">
        <v>28719323.85</v>
      </c>
      <c r="P71" s="5">
        <v>24924318.65</v>
      </c>
      <c r="Q71" s="5">
        <v>0</v>
      </c>
      <c r="R71" s="5">
        <v>0</v>
      </c>
      <c r="S71" s="5">
        <v>0</v>
      </c>
      <c r="T71" s="5"/>
      <c r="U71" s="5">
        <v>20257800.85</v>
      </c>
      <c r="V71" s="5">
        <v>9066990.45</v>
      </c>
      <c r="W71" s="5">
        <v>0</v>
      </c>
      <c r="X71" s="5">
        <v>0</v>
      </c>
      <c r="Y71" s="5">
        <v>0</v>
      </c>
    </row>
    <row r="72" spans="1:25" ht="12.75">
      <c r="A72" s="16">
        <f t="shared" si="10"/>
        <v>56</v>
      </c>
      <c r="B72" s="3" t="s">
        <v>115</v>
      </c>
      <c r="C72" s="5">
        <f t="shared" si="11"/>
        <v>91572710.25</v>
      </c>
      <c r="D72" s="5">
        <f t="shared" si="12"/>
        <v>94216464.3</v>
      </c>
      <c r="E72" s="5"/>
      <c r="F72" s="5"/>
      <c r="G72" s="5">
        <f t="shared" si="13"/>
        <v>92894587</v>
      </c>
      <c r="H72" s="5"/>
      <c r="I72" s="5">
        <f t="shared" si="14"/>
        <v>31263625.575</v>
      </c>
      <c r="J72" s="5">
        <f t="shared" si="15"/>
        <v>61630961.7</v>
      </c>
      <c r="K72" s="5">
        <f t="shared" si="16"/>
        <v>0</v>
      </c>
      <c r="L72" s="5">
        <f t="shared" si="17"/>
        <v>0</v>
      </c>
      <c r="M72" s="5">
        <f t="shared" si="18"/>
        <v>0</v>
      </c>
      <c r="N72" s="5"/>
      <c r="O72" s="5">
        <v>30757923</v>
      </c>
      <c r="P72" s="5">
        <v>60814787.25</v>
      </c>
      <c r="Q72" s="5">
        <v>0</v>
      </c>
      <c r="R72" s="5">
        <v>0</v>
      </c>
      <c r="S72" s="5">
        <v>0</v>
      </c>
      <c r="T72" s="5"/>
      <c r="U72" s="5">
        <v>31769328.15</v>
      </c>
      <c r="V72" s="5">
        <v>62447136.15</v>
      </c>
      <c r="W72" s="5">
        <v>0</v>
      </c>
      <c r="X72" s="5">
        <v>0</v>
      </c>
      <c r="Y72" s="5">
        <v>0</v>
      </c>
    </row>
    <row r="73" spans="1:25" ht="12.75">
      <c r="A73" s="16">
        <f t="shared" si="10"/>
        <v>57</v>
      </c>
      <c r="B73" s="3" t="s">
        <v>90</v>
      </c>
      <c r="C73" s="5">
        <f t="shared" si="11"/>
        <v>8077059.6</v>
      </c>
      <c r="D73" s="5">
        <f t="shared" si="12"/>
        <v>7367854.35</v>
      </c>
      <c r="E73" s="5"/>
      <c r="F73" s="5"/>
      <c r="G73" s="5">
        <f t="shared" si="13"/>
        <v>7722457</v>
      </c>
      <c r="H73" s="5"/>
      <c r="I73" s="5">
        <f t="shared" si="14"/>
        <v>0</v>
      </c>
      <c r="J73" s="5">
        <f t="shared" si="15"/>
        <v>0</v>
      </c>
      <c r="K73" s="5">
        <f t="shared" si="16"/>
        <v>1227568.925</v>
      </c>
      <c r="L73" s="5">
        <f t="shared" si="17"/>
        <v>6494888.05</v>
      </c>
      <c r="M73" s="5">
        <f t="shared" si="18"/>
        <v>0</v>
      </c>
      <c r="N73" s="5"/>
      <c r="O73" s="5">
        <v>0</v>
      </c>
      <c r="P73" s="5">
        <v>0</v>
      </c>
      <c r="Q73" s="5">
        <f>1416514.05-197437</f>
        <v>1219077.05</v>
      </c>
      <c r="R73" s="5">
        <f>7836749.55-978767</f>
        <v>6857982.55</v>
      </c>
      <c r="S73" s="5">
        <v>0</v>
      </c>
      <c r="T73" s="5"/>
      <c r="U73" s="5">
        <v>0</v>
      </c>
      <c r="V73" s="5">
        <v>0</v>
      </c>
      <c r="W73" s="5">
        <f>1386954.8-150894</f>
        <v>1236060.8</v>
      </c>
      <c r="X73" s="5">
        <f>6856329.55-724536</f>
        <v>6131793.55</v>
      </c>
      <c r="Y73" s="5">
        <v>0</v>
      </c>
    </row>
    <row r="74" spans="1:25" ht="12.75">
      <c r="A74" s="16">
        <f t="shared" si="10"/>
        <v>58</v>
      </c>
      <c r="B74" s="1" t="s">
        <v>270</v>
      </c>
      <c r="C74" s="5">
        <f t="shared" si="11"/>
        <v>381115</v>
      </c>
      <c r="D74" s="5">
        <f t="shared" si="12"/>
        <v>381115</v>
      </c>
      <c r="E74" s="5"/>
      <c r="F74" s="5"/>
      <c r="G74" s="5">
        <f t="shared" si="13"/>
        <v>381115</v>
      </c>
      <c r="H74" s="5"/>
      <c r="I74" s="5">
        <f t="shared" si="14"/>
        <v>381115</v>
      </c>
      <c r="J74" s="5">
        <f t="shared" si="15"/>
        <v>0</v>
      </c>
      <c r="K74" s="5">
        <f t="shared" si="16"/>
        <v>0</v>
      </c>
      <c r="L74" s="5">
        <f t="shared" si="17"/>
        <v>0</v>
      </c>
      <c r="M74" s="5">
        <f t="shared" si="18"/>
        <v>0</v>
      </c>
      <c r="N74" s="5"/>
      <c r="O74" s="5">
        <v>381115</v>
      </c>
      <c r="P74" s="5">
        <v>0</v>
      </c>
      <c r="Q74" s="5">
        <v>0</v>
      </c>
      <c r="R74" s="5">
        <v>0</v>
      </c>
      <c r="S74" s="5">
        <v>0</v>
      </c>
      <c r="T74" s="5"/>
      <c r="U74" s="5">
        <v>381115</v>
      </c>
      <c r="V74" s="5">
        <v>0</v>
      </c>
      <c r="W74" s="5">
        <v>0</v>
      </c>
      <c r="X74" s="5">
        <v>0</v>
      </c>
      <c r="Y74" s="5">
        <v>0</v>
      </c>
    </row>
    <row r="75" spans="1:25" ht="12.75">
      <c r="A75" s="16">
        <f t="shared" si="10"/>
        <v>59</v>
      </c>
      <c r="B75" s="1" t="s">
        <v>271</v>
      </c>
      <c r="C75" s="5">
        <f t="shared" si="11"/>
        <v>31632</v>
      </c>
      <c r="D75" s="5">
        <f t="shared" si="12"/>
        <v>31632</v>
      </c>
      <c r="E75" s="5"/>
      <c r="F75" s="5"/>
      <c r="G75" s="5">
        <f t="shared" si="13"/>
        <v>31632</v>
      </c>
      <c r="H75" s="5"/>
      <c r="I75" s="5">
        <f t="shared" si="14"/>
        <v>31632</v>
      </c>
      <c r="J75" s="5">
        <f t="shared" si="15"/>
        <v>0</v>
      </c>
      <c r="K75" s="5">
        <f t="shared" si="16"/>
        <v>0</v>
      </c>
      <c r="L75" s="5">
        <f t="shared" si="17"/>
        <v>0</v>
      </c>
      <c r="M75" s="5">
        <f t="shared" si="18"/>
        <v>0</v>
      </c>
      <c r="N75" s="5"/>
      <c r="O75" s="5">
        <v>31632</v>
      </c>
      <c r="P75" s="5">
        <v>0</v>
      </c>
      <c r="Q75" s="5">
        <v>0</v>
      </c>
      <c r="R75" s="5">
        <v>0</v>
      </c>
      <c r="S75" s="5">
        <v>0</v>
      </c>
      <c r="T75" s="5"/>
      <c r="U75" s="5">
        <v>31632</v>
      </c>
      <c r="V75" s="5">
        <v>0</v>
      </c>
      <c r="W75" s="5">
        <v>0</v>
      </c>
      <c r="X75" s="5">
        <v>0</v>
      </c>
      <c r="Y75" s="5">
        <v>0</v>
      </c>
    </row>
    <row r="76" spans="1:25" ht="12.75">
      <c r="A76" s="16">
        <f t="shared" si="10"/>
        <v>60</v>
      </c>
      <c r="B76" s="3" t="s">
        <v>112</v>
      </c>
      <c r="C76" s="5">
        <f t="shared" si="11"/>
        <v>273038.85</v>
      </c>
      <c r="D76" s="5">
        <f t="shared" si="12"/>
        <v>615338.85</v>
      </c>
      <c r="E76" s="5"/>
      <c r="F76" s="5"/>
      <c r="G76" s="5">
        <f t="shared" si="13"/>
        <v>444189</v>
      </c>
      <c r="H76" s="5"/>
      <c r="I76" s="5">
        <f t="shared" si="14"/>
        <v>108347.4</v>
      </c>
      <c r="J76" s="5">
        <f t="shared" si="15"/>
        <v>184258.9</v>
      </c>
      <c r="K76" s="5">
        <f t="shared" si="16"/>
        <v>1345.4</v>
      </c>
      <c r="L76" s="5">
        <f t="shared" si="17"/>
        <v>150237.15</v>
      </c>
      <c r="M76" s="5">
        <f t="shared" si="18"/>
        <v>0</v>
      </c>
      <c r="N76" s="5"/>
      <c r="O76" s="5">
        <v>22247.4</v>
      </c>
      <c r="P76" s="5">
        <v>140158.9</v>
      </c>
      <c r="Q76" s="5">
        <v>1345.4</v>
      </c>
      <c r="R76" s="5">
        <v>109287.15</v>
      </c>
      <c r="S76" s="5">
        <v>0</v>
      </c>
      <c r="T76" s="5"/>
      <c r="U76" s="5">
        <v>194447.4</v>
      </c>
      <c r="V76" s="5">
        <v>228358.9</v>
      </c>
      <c r="W76" s="5">
        <v>1345.4</v>
      </c>
      <c r="X76" s="5">
        <v>191187.15</v>
      </c>
      <c r="Y76" s="5">
        <v>0</v>
      </c>
    </row>
    <row r="77" spans="1:25" ht="12.75">
      <c r="A77" s="16">
        <f t="shared" si="10"/>
        <v>61</v>
      </c>
      <c r="B77" s="1" t="s">
        <v>37</v>
      </c>
      <c r="C77" s="5">
        <f t="shared" si="11"/>
        <v>30241.24000000005</v>
      </c>
      <c r="D77" s="5">
        <f t="shared" si="12"/>
        <v>49927.24000000005</v>
      </c>
      <c r="E77" s="5"/>
      <c r="F77" s="5"/>
      <c r="G77" s="5">
        <f t="shared" si="13"/>
        <v>40084</v>
      </c>
      <c r="H77" s="5"/>
      <c r="I77" s="5">
        <f t="shared" si="14"/>
        <v>8620.5</v>
      </c>
      <c r="J77" s="5">
        <f t="shared" si="15"/>
        <v>96</v>
      </c>
      <c r="K77" s="5">
        <f t="shared" si="16"/>
        <v>14925.650000000023</v>
      </c>
      <c r="L77" s="5">
        <f t="shared" si="17"/>
        <v>16442.090000000026</v>
      </c>
      <c r="M77" s="5">
        <f t="shared" si="18"/>
        <v>0</v>
      </c>
      <c r="N77" s="5"/>
      <c r="O77" s="5">
        <f>232234-225730</f>
        <v>6504</v>
      </c>
      <c r="P77" s="5">
        <f>1751-1678</f>
        <v>73</v>
      </c>
      <c r="Q77" s="5">
        <f>402062.15-390802</f>
        <v>11260.150000000023</v>
      </c>
      <c r="R77" s="5">
        <f>442899.09-430495</f>
        <v>12404.090000000026</v>
      </c>
      <c r="S77" s="5">
        <v>0</v>
      </c>
      <c r="T77" s="5"/>
      <c r="U77" s="5">
        <f>232234-221497</f>
        <v>10737</v>
      </c>
      <c r="V77" s="5">
        <f>1751-1632</f>
        <v>119</v>
      </c>
      <c r="W77" s="5">
        <f>402062.15-383471</f>
        <v>18591.150000000023</v>
      </c>
      <c r="X77" s="5">
        <f>442899.09-422419</f>
        <v>20480.090000000026</v>
      </c>
      <c r="Y77" s="5">
        <v>0</v>
      </c>
    </row>
    <row r="78" spans="1:25" ht="12.75">
      <c r="A78" s="16">
        <f t="shared" si="10"/>
        <v>62</v>
      </c>
      <c r="B78" s="1" t="s">
        <v>272</v>
      </c>
      <c r="C78" s="5">
        <f t="shared" si="11"/>
        <v>224949</v>
      </c>
      <c r="D78" s="5">
        <f t="shared" si="12"/>
        <v>337423</v>
      </c>
      <c r="E78" s="5"/>
      <c r="F78" s="5"/>
      <c r="G78" s="5">
        <f t="shared" si="13"/>
        <v>281186</v>
      </c>
      <c r="H78" s="5"/>
      <c r="I78" s="5">
        <f t="shared" si="14"/>
        <v>0</v>
      </c>
      <c r="J78" s="5">
        <f t="shared" si="15"/>
        <v>281186</v>
      </c>
      <c r="K78" s="5">
        <f t="shared" si="16"/>
        <v>0</v>
      </c>
      <c r="L78" s="5">
        <f t="shared" si="17"/>
        <v>0</v>
      </c>
      <c r="M78" s="5">
        <f t="shared" si="18"/>
        <v>0</v>
      </c>
      <c r="N78" s="5"/>
      <c r="O78" s="5">
        <v>0</v>
      </c>
      <c r="P78" s="5">
        <f>2811861-2586912</f>
        <v>224949</v>
      </c>
      <c r="Q78" s="5">
        <v>0</v>
      </c>
      <c r="R78" s="5">
        <v>0</v>
      </c>
      <c r="S78" s="5">
        <v>0</v>
      </c>
      <c r="T78" s="5"/>
      <c r="U78" s="5">
        <v>0</v>
      </c>
      <c r="V78" s="5">
        <f>2811861-2474438</f>
        <v>337423</v>
      </c>
      <c r="W78" s="5">
        <v>0</v>
      </c>
      <c r="X78" s="5">
        <v>0</v>
      </c>
      <c r="Y78" s="5">
        <v>0</v>
      </c>
    </row>
    <row r="79" spans="1:25" ht="12.75">
      <c r="A79" s="16">
        <f t="shared" si="10"/>
        <v>63</v>
      </c>
      <c r="B79" s="1" t="s">
        <v>273</v>
      </c>
      <c r="C79" s="5">
        <f t="shared" si="11"/>
        <v>4600626</v>
      </c>
      <c r="D79" s="5">
        <f t="shared" si="12"/>
        <v>4963160</v>
      </c>
      <c r="E79" s="5"/>
      <c r="F79" s="5"/>
      <c r="G79" s="5">
        <f t="shared" si="13"/>
        <v>4781893</v>
      </c>
      <c r="H79" s="5"/>
      <c r="I79" s="5">
        <f t="shared" si="14"/>
        <v>0</v>
      </c>
      <c r="J79" s="5">
        <f t="shared" si="15"/>
        <v>4781893</v>
      </c>
      <c r="K79" s="5">
        <f t="shared" si="16"/>
        <v>0</v>
      </c>
      <c r="L79" s="5">
        <f t="shared" si="17"/>
        <v>0</v>
      </c>
      <c r="M79" s="5">
        <f t="shared" si="18"/>
        <v>0</v>
      </c>
      <c r="N79" s="5"/>
      <c r="O79" s="5">
        <v>0</v>
      </c>
      <c r="P79" s="5">
        <f>9063358-4462732</f>
        <v>4600626</v>
      </c>
      <c r="Q79" s="5">
        <v>0</v>
      </c>
      <c r="R79" s="5">
        <v>0</v>
      </c>
      <c r="S79" s="5">
        <v>0</v>
      </c>
      <c r="T79" s="5"/>
      <c r="U79" s="5">
        <v>0</v>
      </c>
      <c r="V79" s="5">
        <f>9063358-4100198</f>
        <v>4963160</v>
      </c>
      <c r="W79" s="5">
        <v>0</v>
      </c>
      <c r="X79" s="5">
        <v>0</v>
      </c>
      <c r="Y79" s="5">
        <v>0</v>
      </c>
    </row>
    <row r="80" spans="1:25" ht="12.75">
      <c r="A80" s="16">
        <f t="shared" si="10"/>
        <v>64</v>
      </c>
      <c r="B80" s="1" t="s">
        <v>25</v>
      </c>
      <c r="C80" s="5">
        <v>323873.5</v>
      </c>
      <c r="D80" s="5">
        <v>295451.05</v>
      </c>
      <c r="E80" s="5">
        <f aca="true" t="shared" si="19" ref="E80:F82">-C80</f>
        <v>-323873.5</v>
      </c>
      <c r="F80" s="5">
        <f t="shared" si="19"/>
        <v>-295451.05</v>
      </c>
      <c r="G80" s="5">
        <f t="shared" si="13"/>
        <v>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>
      <c r="A81" s="16">
        <f t="shared" si="10"/>
        <v>65</v>
      </c>
      <c r="B81" s="1" t="s">
        <v>38</v>
      </c>
      <c r="C81" s="5">
        <v>61928658.31</v>
      </c>
      <c r="D81" s="5">
        <v>63314933.54</v>
      </c>
      <c r="E81" s="5">
        <f t="shared" si="19"/>
        <v>-61928658.31</v>
      </c>
      <c r="F81" s="5">
        <f t="shared" si="19"/>
        <v>-63314933.54</v>
      </c>
      <c r="G81" s="5">
        <f t="shared" si="13"/>
        <v>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>
      <c r="A82" s="16">
        <f aca="true" t="shared" si="20" ref="A82:A113">A81+1</f>
        <v>66</v>
      </c>
      <c r="B82" s="1" t="s">
        <v>39</v>
      </c>
      <c r="C82" s="5">
        <v>-2799375</v>
      </c>
      <c r="D82" s="5">
        <v>-3706662</v>
      </c>
      <c r="E82" s="5">
        <f t="shared" si="19"/>
        <v>2799375</v>
      </c>
      <c r="F82" s="5">
        <f t="shared" si="19"/>
        <v>3706662</v>
      </c>
      <c r="G82" s="5">
        <f t="shared" si="13"/>
        <v>0</v>
      </c>
      <c r="H82" s="5"/>
      <c r="I82" s="5"/>
      <c r="J82" s="5"/>
      <c r="K82" s="5"/>
      <c r="L82" s="5"/>
      <c r="M82" s="5"/>
      <c r="N82" s="5"/>
      <c r="O82" s="6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>
      <c r="A83" s="16">
        <f t="shared" si="20"/>
        <v>67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3.5" thickBot="1">
      <c r="A84" s="16">
        <f t="shared" si="20"/>
        <v>68</v>
      </c>
      <c r="B84" s="1" t="s">
        <v>40</v>
      </c>
      <c r="C84" s="17">
        <f>SUM(C28:C83)</f>
        <v>867361700.8600001</v>
      </c>
      <c r="D84" s="17">
        <f>SUM(D28:D83)</f>
        <v>777228741.58</v>
      </c>
      <c r="E84" s="17">
        <f>SUM(E28:E83)</f>
        <v>-59453156.81</v>
      </c>
      <c r="F84" s="17">
        <f>SUM(F28:F83)</f>
        <v>-59903722.589999996</v>
      </c>
      <c r="G84" s="17">
        <f>SUM(G28:G83)</f>
        <v>762616786</v>
      </c>
      <c r="H84" s="17"/>
      <c r="I84" s="17">
        <f>SUM(I28:I83)</f>
        <v>155500222.515</v>
      </c>
      <c r="J84" s="17">
        <f>SUM(J28:J83)</f>
        <v>298138782.7849999</v>
      </c>
      <c r="K84" s="17">
        <f>SUM(K28:K83)</f>
        <v>135403647.39500004</v>
      </c>
      <c r="L84" s="17">
        <f>SUM(L28:L83)</f>
        <v>173574128.825</v>
      </c>
      <c r="M84" s="17">
        <f>SUM(M28:M83)</f>
        <v>0</v>
      </c>
      <c r="N84" s="17"/>
      <c r="O84" s="17">
        <f>SUM(O28:O83)</f>
        <v>161728355.62</v>
      </c>
      <c r="P84" s="17">
        <f>SUM(P28:P83)</f>
        <v>317506070.2</v>
      </c>
      <c r="Q84" s="17">
        <f>SUM(Q28:Q83)</f>
        <v>142265439.19</v>
      </c>
      <c r="R84" s="17">
        <f>SUM(R28:R83)</f>
        <v>186408679.04000002</v>
      </c>
      <c r="S84" s="17">
        <f>SUM(S28:S83)</f>
        <v>0</v>
      </c>
      <c r="T84" s="5"/>
      <c r="U84" s="17">
        <f>SUM(U28:U83)</f>
        <v>149272089.41</v>
      </c>
      <c r="V84" s="17">
        <f>SUM(V28:V83)</f>
        <v>278771495.3699999</v>
      </c>
      <c r="W84" s="17">
        <f>SUM(W28:W83)</f>
        <v>128541855.60000001</v>
      </c>
      <c r="X84" s="17">
        <f>SUM(X28:X83)</f>
        <v>160739578.61</v>
      </c>
      <c r="Y84" s="17">
        <f>SUM(Y28:Y83)</f>
        <v>0</v>
      </c>
    </row>
    <row r="85" spans="1:25" ht="13.5" thickTop="1">
      <c r="A85" s="16">
        <f t="shared" si="20"/>
        <v>69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5"/>
      <c r="U85" s="18"/>
      <c r="V85" s="18"/>
      <c r="W85" s="18"/>
      <c r="X85" s="18"/>
      <c r="Y85" s="18"/>
    </row>
    <row r="86" spans="1:25" ht="12.75">
      <c r="A86" s="16">
        <f t="shared" si="20"/>
        <v>70</v>
      </c>
      <c r="B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>
      <c r="A87" s="16">
        <f t="shared" si="20"/>
        <v>71</v>
      </c>
      <c r="B87" s="3" t="s">
        <v>65</v>
      </c>
      <c r="C87" s="5" t="s">
        <v>24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>
      <c r="A88" s="16">
        <f t="shared" si="20"/>
        <v>72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>
      <c r="A89" s="16">
        <f t="shared" si="20"/>
        <v>73</v>
      </c>
      <c r="B89" s="1" t="s">
        <v>274</v>
      </c>
      <c r="C89" s="5">
        <f aca="true" t="shared" si="21" ref="C89:C120">SUM(O89:S89)</f>
        <v>3107975.15</v>
      </c>
      <c r="D89" s="5">
        <f aca="true" t="shared" si="22" ref="D89:D120">SUM(U89:Y89)</f>
        <v>2963433.1</v>
      </c>
      <c r="E89" s="5"/>
      <c r="F89" s="5"/>
      <c r="G89" s="5">
        <f aca="true" t="shared" si="23" ref="G89:G120">ROUND(SUM(C89:F89)/2,0)</f>
        <v>3035704</v>
      </c>
      <c r="H89" s="5"/>
      <c r="I89" s="5">
        <f aca="true" t="shared" si="24" ref="I89:I120">(+O89+U89)/2</f>
        <v>3035703.125</v>
      </c>
      <c r="J89" s="5">
        <f aca="true" t="shared" si="25" ref="J89:J120">(+P89+V89)/2</f>
        <v>1</v>
      </c>
      <c r="K89" s="5">
        <f aca="true" t="shared" si="26" ref="K89:K120">(+Q89+W89)/2</f>
        <v>0</v>
      </c>
      <c r="L89" s="5">
        <f aca="true" t="shared" si="27" ref="L89:L120">(+R89+X89)/2</f>
        <v>0</v>
      </c>
      <c r="M89" s="5">
        <f aca="true" t="shared" si="28" ref="M89:M120">(+S89+Y89)/2</f>
        <v>0</v>
      </c>
      <c r="N89" s="5"/>
      <c r="O89" s="5">
        <v>3107975.15</v>
      </c>
      <c r="P89" s="5">
        <v>0</v>
      </c>
      <c r="Q89" s="5">
        <v>0</v>
      </c>
      <c r="R89" s="5">
        <v>0</v>
      </c>
      <c r="S89" s="5">
        <v>0</v>
      </c>
      <c r="T89" s="5"/>
      <c r="U89" s="5">
        <v>2963431.1</v>
      </c>
      <c r="V89" s="5">
        <v>2</v>
      </c>
      <c r="W89" s="5">
        <v>0</v>
      </c>
      <c r="X89" s="5">
        <v>0</v>
      </c>
      <c r="Y89" s="5">
        <v>0</v>
      </c>
    </row>
    <row r="90" spans="1:25" ht="12.75">
      <c r="A90" s="16">
        <f t="shared" si="20"/>
        <v>74</v>
      </c>
      <c r="B90" s="1" t="s">
        <v>275</v>
      </c>
      <c r="C90" s="5">
        <f t="shared" si="21"/>
        <v>33371.58</v>
      </c>
      <c r="D90" s="5">
        <f t="shared" si="22"/>
        <v>65979.96</v>
      </c>
      <c r="E90" s="5"/>
      <c r="F90" s="5"/>
      <c r="G90" s="5">
        <f t="shared" si="23"/>
        <v>49676</v>
      </c>
      <c r="H90" s="5"/>
      <c r="I90" s="5">
        <f t="shared" si="24"/>
        <v>32048.695</v>
      </c>
      <c r="J90" s="5">
        <f t="shared" si="25"/>
        <v>17627.075</v>
      </c>
      <c r="K90" s="5">
        <f t="shared" si="26"/>
        <v>0</v>
      </c>
      <c r="L90" s="5">
        <f t="shared" si="27"/>
        <v>0</v>
      </c>
      <c r="M90" s="5">
        <f t="shared" si="28"/>
        <v>0</v>
      </c>
      <c r="N90" s="5"/>
      <c r="O90" s="5">
        <v>33371.58</v>
      </c>
      <c r="P90" s="5">
        <v>0</v>
      </c>
      <c r="Q90" s="5">
        <v>0</v>
      </c>
      <c r="R90" s="5">
        <v>0</v>
      </c>
      <c r="S90" s="5">
        <v>0</v>
      </c>
      <c r="T90" s="5"/>
      <c r="U90" s="5">
        <v>30725.81</v>
      </c>
      <c r="V90" s="5">
        <v>35254.15</v>
      </c>
      <c r="W90" s="5">
        <v>0</v>
      </c>
      <c r="X90" s="5">
        <v>0</v>
      </c>
      <c r="Y90" s="5">
        <v>0</v>
      </c>
    </row>
    <row r="91" spans="1:25" ht="12.75">
      <c r="A91" s="16">
        <f t="shared" si="20"/>
        <v>75</v>
      </c>
      <c r="B91" s="1" t="s">
        <v>276</v>
      </c>
      <c r="C91" s="5">
        <f t="shared" si="21"/>
        <v>0</v>
      </c>
      <c r="D91" s="5">
        <f t="shared" si="22"/>
        <v>-151628</v>
      </c>
      <c r="E91" s="5"/>
      <c r="F91" s="5"/>
      <c r="G91" s="5">
        <f t="shared" si="23"/>
        <v>-75814</v>
      </c>
      <c r="H91" s="5"/>
      <c r="I91" s="5">
        <f t="shared" si="24"/>
        <v>0</v>
      </c>
      <c r="J91" s="5">
        <f t="shared" si="25"/>
        <v>-75814</v>
      </c>
      <c r="K91" s="5">
        <f t="shared" si="26"/>
        <v>0</v>
      </c>
      <c r="L91" s="5">
        <f t="shared" si="27"/>
        <v>0</v>
      </c>
      <c r="M91" s="5">
        <f t="shared" si="28"/>
        <v>0</v>
      </c>
      <c r="N91" s="5"/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/>
      <c r="U91" s="5">
        <v>0</v>
      </c>
      <c r="V91" s="5">
        <v>-151628</v>
      </c>
      <c r="W91" s="5">
        <v>0</v>
      </c>
      <c r="X91" s="5">
        <v>0</v>
      </c>
      <c r="Y91" s="5">
        <v>0</v>
      </c>
    </row>
    <row r="92" spans="1:25" ht="12.75">
      <c r="A92" s="16">
        <f t="shared" si="20"/>
        <v>76</v>
      </c>
      <c r="B92" s="3" t="s">
        <v>277</v>
      </c>
      <c r="C92" s="5">
        <f t="shared" si="21"/>
        <v>0</v>
      </c>
      <c r="D92" s="5">
        <f t="shared" si="22"/>
        <v>116372</v>
      </c>
      <c r="E92" s="5"/>
      <c r="F92" s="5"/>
      <c r="G92" s="5">
        <f t="shared" si="23"/>
        <v>58186</v>
      </c>
      <c r="H92" s="5"/>
      <c r="I92" s="5">
        <f t="shared" si="24"/>
        <v>0</v>
      </c>
      <c r="J92" s="5">
        <f t="shared" si="25"/>
        <v>58186</v>
      </c>
      <c r="K92" s="5">
        <f t="shared" si="26"/>
        <v>0</v>
      </c>
      <c r="L92" s="5">
        <f t="shared" si="27"/>
        <v>0</v>
      </c>
      <c r="M92" s="5">
        <f t="shared" si="28"/>
        <v>0</v>
      </c>
      <c r="N92" s="5"/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/>
      <c r="U92" s="5">
        <v>0</v>
      </c>
      <c r="V92" s="5">
        <v>116372</v>
      </c>
      <c r="W92" s="5">
        <v>0</v>
      </c>
      <c r="X92" s="5">
        <v>0</v>
      </c>
      <c r="Y92" s="5">
        <v>0</v>
      </c>
    </row>
    <row r="93" spans="1:25" ht="12.75">
      <c r="A93" s="16">
        <f t="shared" si="20"/>
        <v>77</v>
      </c>
      <c r="B93" s="1" t="s">
        <v>278</v>
      </c>
      <c r="C93" s="5">
        <f t="shared" si="21"/>
        <v>257719.43</v>
      </c>
      <c r="D93" s="5">
        <f t="shared" si="22"/>
        <v>256496.7</v>
      </c>
      <c r="E93" s="5"/>
      <c r="F93" s="5"/>
      <c r="G93" s="5">
        <f t="shared" si="23"/>
        <v>257108</v>
      </c>
      <c r="H93" s="5"/>
      <c r="I93" s="5">
        <f t="shared" si="24"/>
        <v>257108.065</v>
      </c>
      <c r="J93" s="5">
        <f t="shared" si="25"/>
        <v>0</v>
      </c>
      <c r="K93" s="5">
        <f t="shared" si="26"/>
        <v>0</v>
      </c>
      <c r="L93" s="5">
        <f t="shared" si="27"/>
        <v>0</v>
      </c>
      <c r="M93" s="5">
        <f t="shared" si="28"/>
        <v>0</v>
      </c>
      <c r="N93" s="5"/>
      <c r="O93" s="5">
        <v>257719.43</v>
      </c>
      <c r="P93" s="5">
        <v>0</v>
      </c>
      <c r="Q93" s="5">
        <v>0</v>
      </c>
      <c r="R93" s="5">
        <v>0</v>
      </c>
      <c r="S93" s="5">
        <v>0</v>
      </c>
      <c r="T93" s="5"/>
      <c r="U93" s="5">
        <v>256496.7</v>
      </c>
      <c r="V93" s="5">
        <v>0</v>
      </c>
      <c r="W93" s="5">
        <v>0</v>
      </c>
      <c r="X93" s="5">
        <v>0</v>
      </c>
      <c r="Y93" s="5">
        <v>0</v>
      </c>
    </row>
    <row r="94" spans="1:25" ht="12.75">
      <c r="A94" s="16">
        <f t="shared" si="20"/>
        <v>78</v>
      </c>
      <c r="B94" s="1" t="s">
        <v>279</v>
      </c>
      <c r="C94" s="5">
        <f t="shared" si="21"/>
        <v>386570.46</v>
      </c>
      <c r="D94" s="5">
        <f t="shared" si="22"/>
        <v>-77236.59</v>
      </c>
      <c r="E94" s="5"/>
      <c r="F94" s="5"/>
      <c r="G94" s="5">
        <f t="shared" si="23"/>
        <v>154667</v>
      </c>
      <c r="H94" s="5"/>
      <c r="I94" s="5">
        <f t="shared" si="24"/>
        <v>154666.935</v>
      </c>
      <c r="J94" s="5">
        <f t="shared" si="25"/>
        <v>0</v>
      </c>
      <c r="K94" s="5">
        <f t="shared" si="26"/>
        <v>0</v>
      </c>
      <c r="L94" s="5">
        <f t="shared" si="27"/>
        <v>0</v>
      </c>
      <c r="M94" s="5">
        <f t="shared" si="28"/>
        <v>0</v>
      </c>
      <c r="N94" s="5"/>
      <c r="O94" s="5">
        <v>386570.46</v>
      </c>
      <c r="P94" s="5">
        <v>0</v>
      </c>
      <c r="Q94" s="5">
        <v>0</v>
      </c>
      <c r="R94" s="5">
        <v>0</v>
      </c>
      <c r="S94" s="5">
        <v>0</v>
      </c>
      <c r="T94" s="5"/>
      <c r="U94" s="5">
        <v>-77236.59</v>
      </c>
      <c r="V94" s="5">
        <v>0</v>
      </c>
      <c r="W94" s="5">
        <v>0</v>
      </c>
      <c r="X94" s="5">
        <v>0</v>
      </c>
      <c r="Y94" s="5">
        <v>0</v>
      </c>
    </row>
    <row r="95" spans="1:25" ht="12.75">
      <c r="A95" s="16">
        <f t="shared" si="20"/>
        <v>79</v>
      </c>
      <c r="B95" s="1" t="s">
        <v>41</v>
      </c>
      <c r="C95" s="5">
        <f t="shared" si="21"/>
        <v>14801276.35</v>
      </c>
      <c r="D95" s="5">
        <f t="shared" si="22"/>
        <v>16326630.24</v>
      </c>
      <c r="E95" s="5"/>
      <c r="F95" s="5"/>
      <c r="G95" s="5">
        <f t="shared" si="23"/>
        <v>15563953</v>
      </c>
      <c r="H95" s="5"/>
      <c r="I95" s="5">
        <f t="shared" si="24"/>
        <v>15563953.295</v>
      </c>
      <c r="J95" s="5">
        <f t="shared" si="25"/>
        <v>0</v>
      </c>
      <c r="K95" s="5">
        <f t="shared" si="26"/>
        <v>0</v>
      </c>
      <c r="L95" s="5">
        <f t="shared" si="27"/>
        <v>0</v>
      </c>
      <c r="M95" s="5">
        <f t="shared" si="28"/>
        <v>0</v>
      </c>
      <c r="N95" s="5"/>
      <c r="O95" s="5">
        <v>14801276.35</v>
      </c>
      <c r="P95" s="5">
        <v>0</v>
      </c>
      <c r="Q95" s="5">
        <v>0</v>
      </c>
      <c r="R95" s="5">
        <v>0</v>
      </c>
      <c r="S95" s="5">
        <v>0</v>
      </c>
      <c r="T95" s="5"/>
      <c r="U95" s="5">
        <v>16326630.24</v>
      </c>
      <c r="V95" s="5">
        <v>0</v>
      </c>
      <c r="W95" s="5">
        <v>0</v>
      </c>
      <c r="X95" s="5">
        <v>0</v>
      </c>
      <c r="Y95" s="5">
        <v>0</v>
      </c>
    </row>
    <row r="96" spans="1:25" ht="12.75">
      <c r="A96" s="16">
        <f t="shared" si="20"/>
        <v>80</v>
      </c>
      <c r="B96" s="3" t="s">
        <v>280</v>
      </c>
      <c r="C96" s="5">
        <f t="shared" si="21"/>
        <v>141494.5</v>
      </c>
      <c r="D96" s="5">
        <f t="shared" si="22"/>
        <v>0.13</v>
      </c>
      <c r="E96" s="5"/>
      <c r="F96" s="5"/>
      <c r="G96" s="5">
        <f t="shared" si="23"/>
        <v>70747</v>
      </c>
      <c r="H96" s="5"/>
      <c r="I96" s="5">
        <f t="shared" si="24"/>
        <v>70747.315</v>
      </c>
      <c r="J96" s="5">
        <f t="shared" si="25"/>
        <v>0</v>
      </c>
      <c r="K96" s="5">
        <f t="shared" si="26"/>
        <v>0</v>
      </c>
      <c r="L96" s="5">
        <f t="shared" si="27"/>
        <v>0</v>
      </c>
      <c r="M96" s="5">
        <f t="shared" si="28"/>
        <v>0</v>
      </c>
      <c r="N96" s="5"/>
      <c r="O96" s="5">
        <v>141494.5</v>
      </c>
      <c r="P96" s="5">
        <v>0</v>
      </c>
      <c r="Q96" s="5">
        <v>0</v>
      </c>
      <c r="R96" s="5">
        <v>0</v>
      </c>
      <c r="S96" s="5">
        <v>0</v>
      </c>
      <c r="T96" s="5"/>
      <c r="U96" s="5">
        <v>0.13</v>
      </c>
      <c r="V96" s="5">
        <v>0</v>
      </c>
      <c r="W96" s="5">
        <v>0</v>
      </c>
      <c r="X96" s="5">
        <v>0</v>
      </c>
      <c r="Y96" s="5">
        <v>0</v>
      </c>
    </row>
    <row r="97" spans="1:25" ht="12.75">
      <c r="A97" s="16">
        <f t="shared" si="20"/>
        <v>81</v>
      </c>
      <c r="B97" s="1" t="s">
        <v>281</v>
      </c>
      <c r="C97" s="5">
        <f t="shared" si="21"/>
        <v>0</v>
      </c>
      <c r="D97" s="5">
        <f t="shared" si="22"/>
        <v>0</v>
      </c>
      <c r="E97" s="5"/>
      <c r="F97" s="5"/>
      <c r="G97" s="5">
        <f t="shared" si="23"/>
        <v>0</v>
      </c>
      <c r="H97" s="5"/>
      <c r="I97" s="5">
        <f t="shared" si="24"/>
        <v>0</v>
      </c>
      <c r="J97" s="5">
        <f t="shared" si="25"/>
        <v>0</v>
      </c>
      <c r="K97" s="5">
        <f t="shared" si="26"/>
        <v>0</v>
      </c>
      <c r="L97" s="5">
        <f t="shared" si="27"/>
        <v>0</v>
      </c>
      <c r="M97" s="5">
        <f t="shared" si="28"/>
        <v>0</v>
      </c>
      <c r="N97" s="5"/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/>
      <c r="U97" s="5">
        <v>0</v>
      </c>
      <c r="V97" s="5">
        <v>0</v>
      </c>
      <c r="W97" s="5">
        <v>0</v>
      </c>
      <c r="X97" s="5">
        <v>0</v>
      </c>
      <c r="Y97" s="5">
        <v>0</v>
      </c>
    </row>
    <row r="98" spans="1:25" ht="12.75">
      <c r="A98" s="16">
        <f t="shared" si="20"/>
        <v>82</v>
      </c>
      <c r="B98" s="3" t="s">
        <v>282</v>
      </c>
      <c r="C98" s="5">
        <f t="shared" si="21"/>
        <v>0.01</v>
      </c>
      <c r="D98" s="5">
        <f t="shared" si="22"/>
        <v>386027.05</v>
      </c>
      <c r="E98" s="5"/>
      <c r="F98" s="5"/>
      <c r="G98" s="5">
        <f t="shared" si="23"/>
        <v>193014</v>
      </c>
      <c r="H98" s="5"/>
      <c r="I98" s="5">
        <f t="shared" si="24"/>
        <v>193013.53</v>
      </c>
      <c r="J98" s="5">
        <f t="shared" si="25"/>
        <v>0</v>
      </c>
      <c r="K98" s="5">
        <f t="shared" si="26"/>
        <v>0</v>
      </c>
      <c r="L98" s="5">
        <f t="shared" si="27"/>
        <v>0</v>
      </c>
      <c r="M98" s="5">
        <f t="shared" si="28"/>
        <v>0</v>
      </c>
      <c r="N98" s="5"/>
      <c r="O98" s="5">
        <v>0.01</v>
      </c>
      <c r="P98" s="5">
        <v>0</v>
      </c>
      <c r="Q98" s="5">
        <v>0</v>
      </c>
      <c r="R98" s="5">
        <v>0</v>
      </c>
      <c r="S98" s="5">
        <v>0</v>
      </c>
      <c r="T98" s="5"/>
      <c r="U98" s="5">
        <v>386027.05</v>
      </c>
      <c r="V98" s="5">
        <v>0</v>
      </c>
      <c r="W98" s="5">
        <v>0</v>
      </c>
      <c r="X98" s="5">
        <v>0</v>
      </c>
      <c r="Y98" s="5">
        <v>0</v>
      </c>
    </row>
    <row r="99" spans="1:25" ht="12.75">
      <c r="A99" s="16">
        <f t="shared" si="20"/>
        <v>83</v>
      </c>
      <c r="B99" s="3" t="s">
        <v>283</v>
      </c>
      <c r="C99" s="5">
        <f t="shared" si="21"/>
        <v>1208093.65</v>
      </c>
      <c r="D99" s="5">
        <f t="shared" si="22"/>
        <v>1414876.94</v>
      </c>
      <c r="E99" s="5"/>
      <c r="F99" s="5"/>
      <c r="G99" s="5">
        <f t="shared" si="23"/>
        <v>1311485</v>
      </c>
      <c r="H99" s="5"/>
      <c r="I99" s="5">
        <f t="shared" si="24"/>
        <v>0</v>
      </c>
      <c r="J99" s="5">
        <f t="shared" si="25"/>
        <v>0</v>
      </c>
      <c r="K99" s="5">
        <f t="shared" si="26"/>
        <v>1311485.295</v>
      </c>
      <c r="L99" s="5">
        <f t="shared" si="27"/>
        <v>0</v>
      </c>
      <c r="M99" s="5">
        <f t="shared" si="28"/>
        <v>0</v>
      </c>
      <c r="N99" s="5"/>
      <c r="O99" s="5">
        <v>0</v>
      </c>
      <c r="P99" s="5">
        <v>0</v>
      </c>
      <c r="Q99" s="5">
        <v>1208093.65</v>
      </c>
      <c r="R99" s="5">
        <v>0</v>
      </c>
      <c r="S99" s="5">
        <v>0</v>
      </c>
      <c r="T99" s="5"/>
      <c r="U99" s="5">
        <v>0</v>
      </c>
      <c r="V99" s="5">
        <v>0</v>
      </c>
      <c r="W99" s="5">
        <v>1414876.94</v>
      </c>
      <c r="X99" s="5">
        <v>0</v>
      </c>
      <c r="Y99" s="5">
        <v>0</v>
      </c>
    </row>
    <row r="100" spans="1:25" ht="12.75">
      <c r="A100" s="16">
        <f t="shared" si="20"/>
        <v>84</v>
      </c>
      <c r="B100" s="3" t="s">
        <v>284</v>
      </c>
      <c r="C100" s="5">
        <f t="shared" si="21"/>
        <v>3756302.2</v>
      </c>
      <c r="D100" s="5">
        <f t="shared" si="22"/>
        <v>0</v>
      </c>
      <c r="E100" s="5"/>
      <c r="F100" s="5"/>
      <c r="G100" s="5">
        <f t="shared" si="23"/>
        <v>1878151</v>
      </c>
      <c r="H100" s="5"/>
      <c r="I100" s="5">
        <f t="shared" si="24"/>
        <v>0</v>
      </c>
      <c r="J100" s="5">
        <f t="shared" si="25"/>
        <v>0</v>
      </c>
      <c r="K100" s="5">
        <f t="shared" si="26"/>
        <v>0</v>
      </c>
      <c r="L100" s="5">
        <f t="shared" si="27"/>
        <v>1878151.1</v>
      </c>
      <c r="M100" s="5">
        <f t="shared" si="28"/>
        <v>0</v>
      </c>
      <c r="N100" s="5"/>
      <c r="O100" s="5">
        <v>0</v>
      </c>
      <c r="P100" s="5">
        <v>0</v>
      </c>
      <c r="Q100" s="5">
        <v>0</v>
      </c>
      <c r="R100" s="5">
        <v>3756302.2</v>
      </c>
      <c r="S100" s="5">
        <v>0</v>
      </c>
      <c r="T100" s="5"/>
      <c r="U100" s="5">
        <v>0</v>
      </c>
      <c r="V100" s="5">
        <v>0</v>
      </c>
      <c r="W100" s="5">
        <v>0</v>
      </c>
      <c r="X100" s="5">
        <v>0</v>
      </c>
      <c r="Y100" s="5">
        <v>0</v>
      </c>
    </row>
    <row r="101" spans="1:25" ht="12.75">
      <c r="A101" s="16">
        <f t="shared" si="20"/>
        <v>85</v>
      </c>
      <c r="B101" s="3" t="s">
        <v>285</v>
      </c>
      <c r="C101" s="5">
        <f t="shared" si="21"/>
        <v>181700.57</v>
      </c>
      <c r="D101" s="5">
        <f t="shared" si="22"/>
        <v>121893.89</v>
      </c>
      <c r="E101" s="5"/>
      <c r="F101" s="5"/>
      <c r="G101" s="5">
        <f t="shared" si="23"/>
        <v>151797</v>
      </c>
      <c r="H101" s="5"/>
      <c r="I101" s="5">
        <f t="shared" si="24"/>
        <v>10409.1</v>
      </c>
      <c r="J101" s="5">
        <f t="shared" si="25"/>
        <v>50983.535</v>
      </c>
      <c r="K101" s="5">
        <f t="shared" si="26"/>
        <v>36524.16</v>
      </c>
      <c r="L101" s="5">
        <f t="shared" si="27"/>
        <v>53880.435</v>
      </c>
      <c r="M101" s="5">
        <f t="shared" si="28"/>
        <v>0</v>
      </c>
      <c r="N101" s="5"/>
      <c r="O101" s="5">
        <v>20911.88</v>
      </c>
      <c r="P101" s="5">
        <v>57192.36</v>
      </c>
      <c r="Q101" s="5">
        <v>41394.04</v>
      </c>
      <c r="R101" s="5">
        <v>62202.29</v>
      </c>
      <c r="S101" s="5">
        <v>0</v>
      </c>
      <c r="T101" s="5"/>
      <c r="U101" s="5">
        <v>-93.68</v>
      </c>
      <c r="V101" s="5">
        <v>44774.71</v>
      </c>
      <c r="W101" s="5">
        <v>31654.28</v>
      </c>
      <c r="X101" s="5">
        <v>45558.58</v>
      </c>
      <c r="Y101" s="5">
        <v>0</v>
      </c>
    </row>
    <row r="102" spans="1:25" ht="12.75">
      <c r="A102" s="16">
        <f t="shared" si="20"/>
        <v>86</v>
      </c>
      <c r="B102" s="3" t="s">
        <v>286</v>
      </c>
      <c r="C102" s="5">
        <f t="shared" si="21"/>
        <v>321090</v>
      </c>
      <c r="D102" s="5">
        <f t="shared" si="22"/>
        <v>0</v>
      </c>
      <c r="E102" s="5"/>
      <c r="F102" s="5"/>
      <c r="G102" s="5">
        <f t="shared" si="23"/>
        <v>160545</v>
      </c>
      <c r="H102" s="5"/>
      <c r="I102" s="5">
        <f t="shared" si="24"/>
        <v>133831.25</v>
      </c>
      <c r="J102" s="5">
        <f t="shared" si="25"/>
        <v>0</v>
      </c>
      <c r="K102" s="5">
        <f t="shared" si="26"/>
        <v>26713.75</v>
      </c>
      <c r="L102" s="5">
        <f t="shared" si="27"/>
        <v>0</v>
      </c>
      <c r="M102" s="5">
        <f t="shared" si="28"/>
        <v>0</v>
      </c>
      <c r="N102" s="5"/>
      <c r="O102" s="5">
        <v>267662.5</v>
      </c>
      <c r="P102" s="5">
        <v>0</v>
      </c>
      <c r="Q102" s="5">
        <v>53427.5</v>
      </c>
      <c r="R102" s="5">
        <v>0</v>
      </c>
      <c r="S102" s="5">
        <v>0</v>
      </c>
      <c r="T102" s="5"/>
      <c r="U102" s="5">
        <v>0</v>
      </c>
      <c r="V102" s="5">
        <v>0</v>
      </c>
      <c r="W102" s="5">
        <v>0</v>
      </c>
      <c r="X102" s="5">
        <v>0</v>
      </c>
      <c r="Y102" s="5">
        <v>0</v>
      </c>
    </row>
    <row r="103" spans="1:25" ht="12.75">
      <c r="A103" s="16">
        <f t="shared" si="20"/>
        <v>87</v>
      </c>
      <c r="B103" s="1" t="s">
        <v>287</v>
      </c>
      <c r="C103" s="5">
        <f t="shared" si="21"/>
        <v>4320406.1</v>
      </c>
      <c r="D103" s="5">
        <f t="shared" si="22"/>
        <v>4691694.15</v>
      </c>
      <c r="E103" s="5"/>
      <c r="F103" s="5"/>
      <c r="G103" s="5">
        <f t="shared" si="23"/>
        <v>4506050</v>
      </c>
      <c r="H103" s="5"/>
      <c r="I103" s="5">
        <f t="shared" si="24"/>
        <v>4506050.125</v>
      </c>
      <c r="J103" s="5">
        <f t="shared" si="25"/>
        <v>0</v>
      </c>
      <c r="K103" s="5">
        <f t="shared" si="26"/>
        <v>0</v>
      </c>
      <c r="L103" s="5">
        <f t="shared" si="27"/>
        <v>0</v>
      </c>
      <c r="M103" s="5">
        <f t="shared" si="28"/>
        <v>0</v>
      </c>
      <c r="N103" s="5"/>
      <c r="O103" s="5">
        <v>4320406.1</v>
      </c>
      <c r="P103" s="5">
        <v>0</v>
      </c>
      <c r="Q103" s="5">
        <v>0</v>
      </c>
      <c r="R103" s="5">
        <v>0</v>
      </c>
      <c r="S103" s="5">
        <v>0</v>
      </c>
      <c r="T103" s="5"/>
      <c r="U103" s="5">
        <v>4691694.15</v>
      </c>
      <c r="V103" s="5">
        <v>0</v>
      </c>
      <c r="W103" s="5">
        <v>0</v>
      </c>
      <c r="X103" s="5">
        <v>0</v>
      </c>
      <c r="Y103" s="5">
        <v>0</v>
      </c>
    </row>
    <row r="104" spans="1:25" ht="12.75">
      <c r="A104" s="16">
        <f t="shared" si="20"/>
        <v>88</v>
      </c>
      <c r="B104" s="1" t="s">
        <v>288</v>
      </c>
      <c r="C104" s="5">
        <f t="shared" si="21"/>
        <v>4581.15</v>
      </c>
      <c r="D104" s="5">
        <f t="shared" si="22"/>
        <v>42392.35</v>
      </c>
      <c r="E104" s="5"/>
      <c r="F104" s="5"/>
      <c r="G104" s="5">
        <f t="shared" si="23"/>
        <v>23487</v>
      </c>
      <c r="H104" s="5"/>
      <c r="I104" s="5">
        <f t="shared" si="24"/>
        <v>23486.75</v>
      </c>
      <c r="J104" s="5">
        <f t="shared" si="25"/>
        <v>0</v>
      </c>
      <c r="K104" s="5">
        <f t="shared" si="26"/>
        <v>0</v>
      </c>
      <c r="L104" s="5">
        <f t="shared" si="27"/>
        <v>0</v>
      </c>
      <c r="M104" s="5">
        <f t="shared" si="28"/>
        <v>0</v>
      </c>
      <c r="N104" s="5"/>
      <c r="O104" s="5">
        <v>4581.15</v>
      </c>
      <c r="P104" s="5">
        <v>0</v>
      </c>
      <c r="Q104" s="5">
        <v>0</v>
      </c>
      <c r="R104" s="5">
        <v>0</v>
      </c>
      <c r="S104" s="5">
        <v>0</v>
      </c>
      <c r="T104" s="5"/>
      <c r="U104" s="5">
        <v>42392.35</v>
      </c>
      <c r="V104" s="5">
        <v>0</v>
      </c>
      <c r="W104" s="5">
        <v>0</v>
      </c>
      <c r="X104" s="5">
        <v>0</v>
      </c>
      <c r="Y104" s="5">
        <v>0</v>
      </c>
    </row>
    <row r="105" spans="1:25" ht="12.75">
      <c r="A105" s="16">
        <f t="shared" si="20"/>
        <v>89</v>
      </c>
      <c r="B105" s="1" t="s">
        <v>42</v>
      </c>
      <c r="C105" s="5">
        <f t="shared" si="21"/>
        <v>211312</v>
      </c>
      <c r="D105" s="5">
        <f t="shared" si="22"/>
        <v>211311.65</v>
      </c>
      <c r="E105" s="5"/>
      <c r="F105" s="5"/>
      <c r="G105" s="5">
        <f t="shared" si="23"/>
        <v>211312</v>
      </c>
      <c r="H105" s="5"/>
      <c r="I105" s="5">
        <f t="shared" si="24"/>
        <v>211311.825</v>
      </c>
      <c r="J105" s="5">
        <f t="shared" si="25"/>
        <v>0</v>
      </c>
      <c r="K105" s="5">
        <f t="shared" si="26"/>
        <v>0</v>
      </c>
      <c r="L105" s="5">
        <f t="shared" si="27"/>
        <v>0</v>
      </c>
      <c r="M105" s="5">
        <f t="shared" si="28"/>
        <v>0</v>
      </c>
      <c r="N105" s="5"/>
      <c r="O105" s="5">
        <v>211312</v>
      </c>
      <c r="P105" s="5">
        <v>0</v>
      </c>
      <c r="Q105" s="5">
        <v>0</v>
      </c>
      <c r="R105" s="5">
        <v>0</v>
      </c>
      <c r="S105" s="5">
        <v>0</v>
      </c>
      <c r="T105" s="5"/>
      <c r="U105" s="5">
        <v>211311.65</v>
      </c>
      <c r="V105" s="5">
        <v>0</v>
      </c>
      <c r="W105" s="5">
        <v>0</v>
      </c>
      <c r="X105" s="5">
        <v>0</v>
      </c>
      <c r="Y105" s="5">
        <v>0</v>
      </c>
    </row>
    <row r="106" spans="1:25" ht="12.75">
      <c r="A106" s="16">
        <f t="shared" si="20"/>
        <v>90</v>
      </c>
      <c r="B106" s="1" t="s">
        <v>286</v>
      </c>
      <c r="C106" s="5">
        <f t="shared" si="21"/>
        <v>97024.25</v>
      </c>
      <c r="D106" s="5">
        <f t="shared" si="22"/>
        <v>0</v>
      </c>
      <c r="E106" s="5"/>
      <c r="F106" s="5"/>
      <c r="G106" s="5">
        <f t="shared" si="23"/>
        <v>48512</v>
      </c>
      <c r="H106" s="5"/>
      <c r="I106" s="5">
        <f t="shared" si="24"/>
        <v>0</v>
      </c>
      <c r="J106" s="5">
        <f t="shared" si="25"/>
        <v>0</v>
      </c>
      <c r="K106" s="5">
        <f t="shared" si="26"/>
        <v>0</v>
      </c>
      <c r="L106" s="5">
        <f t="shared" si="27"/>
        <v>48512.125</v>
      </c>
      <c r="M106" s="5">
        <f t="shared" si="28"/>
        <v>0</v>
      </c>
      <c r="N106" s="5"/>
      <c r="O106" s="5">
        <v>0</v>
      </c>
      <c r="P106" s="5">
        <v>0</v>
      </c>
      <c r="Q106" s="5">
        <v>0</v>
      </c>
      <c r="R106" s="5">
        <f>97024.2+0.05</f>
        <v>97024.25</v>
      </c>
      <c r="S106" s="5">
        <v>0</v>
      </c>
      <c r="T106" s="5"/>
      <c r="U106" s="5">
        <v>0</v>
      </c>
      <c r="V106" s="5">
        <v>0</v>
      </c>
      <c r="W106" s="5">
        <v>0</v>
      </c>
      <c r="X106" s="5">
        <v>0</v>
      </c>
      <c r="Y106" s="5">
        <v>0</v>
      </c>
    </row>
    <row r="107" spans="1:25" ht="12.75">
      <c r="A107" s="16">
        <f t="shared" si="20"/>
        <v>91</v>
      </c>
      <c r="B107" s="3" t="s">
        <v>59</v>
      </c>
      <c r="C107" s="5">
        <f t="shared" si="21"/>
        <v>1188519.06</v>
      </c>
      <c r="D107" s="5">
        <f t="shared" si="22"/>
        <v>944854.99</v>
      </c>
      <c r="E107" s="5"/>
      <c r="F107" s="5"/>
      <c r="G107" s="5">
        <f t="shared" si="23"/>
        <v>1066687</v>
      </c>
      <c r="H107" s="5"/>
      <c r="I107" s="5">
        <f t="shared" si="24"/>
        <v>1066687.025</v>
      </c>
      <c r="J107" s="5">
        <f t="shared" si="25"/>
        <v>0</v>
      </c>
      <c r="K107" s="5">
        <f t="shared" si="26"/>
        <v>0</v>
      </c>
      <c r="L107" s="5">
        <f t="shared" si="27"/>
        <v>0</v>
      </c>
      <c r="M107" s="5">
        <f t="shared" si="28"/>
        <v>0</v>
      </c>
      <c r="N107" s="5"/>
      <c r="O107" s="5">
        <v>1188519.06</v>
      </c>
      <c r="P107" s="5">
        <v>0</v>
      </c>
      <c r="Q107" s="5">
        <v>0</v>
      </c>
      <c r="R107" s="5">
        <v>0</v>
      </c>
      <c r="S107" s="5">
        <v>0</v>
      </c>
      <c r="T107" s="5"/>
      <c r="U107" s="5">
        <v>944854.99</v>
      </c>
      <c r="V107" s="5">
        <v>0</v>
      </c>
      <c r="W107" s="5">
        <v>0</v>
      </c>
      <c r="X107" s="5">
        <v>0</v>
      </c>
      <c r="Y107" s="5">
        <v>0</v>
      </c>
    </row>
    <row r="108" spans="1:25" ht="12.75">
      <c r="A108" s="16">
        <f t="shared" si="20"/>
        <v>92</v>
      </c>
      <c r="B108" s="3" t="s">
        <v>289</v>
      </c>
      <c r="C108" s="5">
        <f t="shared" si="21"/>
        <v>-8374.45</v>
      </c>
      <c r="D108" s="5">
        <f t="shared" si="22"/>
        <v>-509.8600000000006</v>
      </c>
      <c r="E108" s="5"/>
      <c r="F108" s="5"/>
      <c r="G108" s="5">
        <f t="shared" si="23"/>
        <v>-4442</v>
      </c>
      <c r="H108" s="5"/>
      <c r="I108" s="5">
        <f t="shared" si="24"/>
        <v>-19862.455</v>
      </c>
      <c r="J108" s="5">
        <f t="shared" si="25"/>
        <v>0</v>
      </c>
      <c r="K108" s="5">
        <f t="shared" si="26"/>
        <v>15420.3</v>
      </c>
      <c r="L108" s="5">
        <f t="shared" si="27"/>
        <v>0</v>
      </c>
      <c r="M108" s="5">
        <f t="shared" si="28"/>
        <v>0</v>
      </c>
      <c r="N108" s="5"/>
      <c r="O108" s="5">
        <v>-8374.45</v>
      </c>
      <c r="P108" s="5">
        <v>0</v>
      </c>
      <c r="Q108" s="5">
        <v>0</v>
      </c>
      <c r="R108" s="5">
        <v>0</v>
      </c>
      <c r="S108" s="5">
        <v>0</v>
      </c>
      <c r="T108" s="5"/>
      <c r="U108" s="5">
        <v>-31350.46</v>
      </c>
      <c r="V108" s="5">
        <v>0</v>
      </c>
      <c r="W108" s="5">
        <v>30840.6</v>
      </c>
      <c r="X108" s="5">
        <v>0</v>
      </c>
      <c r="Y108" s="5">
        <v>0</v>
      </c>
    </row>
    <row r="109" spans="1:25" ht="12.75">
      <c r="A109" s="16">
        <f t="shared" si="20"/>
        <v>93</v>
      </c>
      <c r="B109" s="3" t="s">
        <v>290</v>
      </c>
      <c r="C109" s="5">
        <f t="shared" si="21"/>
        <v>1184851.83</v>
      </c>
      <c r="D109" s="5">
        <f t="shared" si="22"/>
        <v>2477417.41</v>
      </c>
      <c r="E109" s="5"/>
      <c r="F109" s="5"/>
      <c r="G109" s="5">
        <f t="shared" si="23"/>
        <v>1831135</v>
      </c>
      <c r="H109" s="5"/>
      <c r="I109" s="5">
        <f t="shared" si="24"/>
        <v>1831134.62</v>
      </c>
      <c r="J109" s="5">
        <f t="shared" si="25"/>
        <v>0</v>
      </c>
      <c r="K109" s="5">
        <f t="shared" si="26"/>
        <v>0</v>
      </c>
      <c r="L109" s="5">
        <f t="shared" si="27"/>
        <v>0</v>
      </c>
      <c r="M109" s="5">
        <f t="shared" si="28"/>
        <v>0</v>
      </c>
      <c r="N109" s="5"/>
      <c r="O109" s="5">
        <v>1184851.83</v>
      </c>
      <c r="P109" s="5">
        <v>0</v>
      </c>
      <c r="Q109" s="5">
        <v>0</v>
      </c>
      <c r="R109" s="5">
        <v>0</v>
      </c>
      <c r="S109" s="5">
        <v>0</v>
      </c>
      <c r="T109" s="5"/>
      <c r="U109" s="5">
        <v>2477417.41</v>
      </c>
      <c r="V109" s="5">
        <v>0</v>
      </c>
      <c r="W109" s="5">
        <v>0</v>
      </c>
      <c r="X109" s="5">
        <v>0</v>
      </c>
      <c r="Y109" s="5">
        <v>0</v>
      </c>
    </row>
    <row r="110" spans="1:25" ht="12.75">
      <c r="A110" s="16">
        <f t="shared" si="20"/>
        <v>94</v>
      </c>
      <c r="B110" s="3" t="s">
        <v>97</v>
      </c>
      <c r="C110" s="5">
        <f t="shared" si="21"/>
        <v>72328521.3</v>
      </c>
      <c r="D110" s="5">
        <f t="shared" si="22"/>
        <v>69733549.9</v>
      </c>
      <c r="E110" s="5"/>
      <c r="F110" s="5"/>
      <c r="G110" s="5">
        <f t="shared" si="23"/>
        <v>71031036</v>
      </c>
      <c r="H110" s="5"/>
      <c r="I110" s="5">
        <f t="shared" si="24"/>
        <v>14887181.4</v>
      </c>
      <c r="J110" s="5">
        <f t="shared" si="25"/>
        <v>21015704.5</v>
      </c>
      <c r="K110" s="5">
        <f t="shared" si="26"/>
        <v>5381784.8</v>
      </c>
      <c r="L110" s="5">
        <f t="shared" si="27"/>
        <v>29746364.9</v>
      </c>
      <c r="M110" s="5">
        <f t="shared" si="28"/>
        <v>0</v>
      </c>
      <c r="N110" s="5"/>
      <c r="O110" s="5">
        <v>15329392.05</v>
      </c>
      <c r="P110" s="5">
        <v>20929182.05</v>
      </c>
      <c r="Q110" s="5">
        <v>5550915.3</v>
      </c>
      <c r="R110" s="5">
        <v>30519031.9</v>
      </c>
      <c r="S110" s="5">
        <v>0</v>
      </c>
      <c r="T110" s="5"/>
      <c r="U110" s="5">
        <v>14444970.75</v>
      </c>
      <c r="V110" s="5">
        <v>21102226.95</v>
      </c>
      <c r="W110" s="5">
        <v>5212654.3</v>
      </c>
      <c r="X110" s="5">
        <v>28973697.9</v>
      </c>
      <c r="Y110" s="5">
        <v>0</v>
      </c>
    </row>
    <row r="111" spans="1:25" ht="12.75">
      <c r="A111" s="16">
        <f t="shared" si="20"/>
        <v>95</v>
      </c>
      <c r="B111" s="3" t="s">
        <v>98</v>
      </c>
      <c r="C111" s="5">
        <f t="shared" si="21"/>
        <v>204386.7</v>
      </c>
      <c r="D111" s="5">
        <f t="shared" si="22"/>
        <v>259969.84999999998</v>
      </c>
      <c r="E111" s="5"/>
      <c r="F111" s="5"/>
      <c r="G111" s="5">
        <f t="shared" si="23"/>
        <v>232178</v>
      </c>
      <c r="H111" s="5"/>
      <c r="I111" s="5">
        <f t="shared" si="24"/>
        <v>1464.9250000000002</v>
      </c>
      <c r="J111" s="5">
        <f t="shared" si="25"/>
        <v>9260.65</v>
      </c>
      <c r="K111" s="5">
        <f t="shared" si="26"/>
        <v>26346.075</v>
      </c>
      <c r="L111" s="5">
        <f t="shared" si="27"/>
        <v>195106.625</v>
      </c>
      <c r="M111" s="5">
        <f t="shared" si="28"/>
        <v>0</v>
      </c>
      <c r="N111" s="5"/>
      <c r="O111" s="5">
        <v>-5886.65</v>
      </c>
      <c r="P111" s="5">
        <v>12057.5</v>
      </c>
      <c r="Q111" s="5">
        <v>27343.75</v>
      </c>
      <c r="R111" s="5">
        <v>170872.1</v>
      </c>
      <c r="S111" s="5">
        <v>0</v>
      </c>
      <c r="T111" s="5"/>
      <c r="U111" s="5">
        <v>8816.5</v>
      </c>
      <c r="V111" s="5">
        <v>6463.8</v>
      </c>
      <c r="W111" s="5">
        <v>25348.4</v>
      </c>
      <c r="X111" s="5">
        <v>219341.15</v>
      </c>
      <c r="Y111" s="5">
        <v>0</v>
      </c>
    </row>
    <row r="112" spans="1:25" ht="12.75">
      <c r="A112" s="16">
        <f t="shared" si="20"/>
        <v>96</v>
      </c>
      <c r="B112" s="3" t="s">
        <v>99</v>
      </c>
      <c r="C112" s="5">
        <f t="shared" si="21"/>
        <v>29454304.95</v>
      </c>
      <c r="D112" s="5">
        <f t="shared" si="22"/>
        <v>23834436.5</v>
      </c>
      <c r="E112" s="5"/>
      <c r="F112" s="5"/>
      <c r="G112" s="5">
        <f t="shared" si="23"/>
        <v>26644371</v>
      </c>
      <c r="H112" s="5"/>
      <c r="I112" s="5">
        <f t="shared" si="24"/>
        <v>5770702</v>
      </c>
      <c r="J112" s="5">
        <f t="shared" si="25"/>
        <v>9138920</v>
      </c>
      <c r="K112" s="5">
        <f t="shared" si="26"/>
        <v>1973876.2750000001</v>
      </c>
      <c r="L112" s="5">
        <f t="shared" si="27"/>
        <v>9760872.45</v>
      </c>
      <c r="M112" s="5">
        <f t="shared" si="28"/>
        <v>0</v>
      </c>
      <c r="N112" s="5"/>
      <c r="O112" s="5">
        <v>6336743.7</v>
      </c>
      <c r="P112" s="5">
        <v>10390597.35</v>
      </c>
      <c r="Q112" s="5">
        <v>2175929.7</v>
      </c>
      <c r="R112" s="5">
        <v>10551034.2</v>
      </c>
      <c r="S112" s="5">
        <v>0</v>
      </c>
      <c r="T112" s="5"/>
      <c r="U112" s="5">
        <v>5204660.3</v>
      </c>
      <c r="V112" s="5">
        <v>7887242.65</v>
      </c>
      <c r="W112" s="5">
        <v>1771822.85</v>
      </c>
      <c r="X112" s="5">
        <v>8970710.7</v>
      </c>
      <c r="Y112" s="5">
        <v>0</v>
      </c>
    </row>
    <row r="113" spans="1:25" ht="12.75">
      <c r="A113" s="16">
        <f t="shared" si="20"/>
        <v>97</v>
      </c>
      <c r="B113" s="3" t="s">
        <v>291</v>
      </c>
      <c r="C113" s="5">
        <f t="shared" si="21"/>
        <v>0</v>
      </c>
      <c r="D113" s="5">
        <f t="shared" si="22"/>
        <v>0</v>
      </c>
      <c r="E113" s="5"/>
      <c r="F113" s="5"/>
      <c r="G113" s="5">
        <f t="shared" si="23"/>
        <v>0</v>
      </c>
      <c r="H113" s="5"/>
      <c r="I113" s="5">
        <f t="shared" si="24"/>
        <v>0</v>
      </c>
      <c r="J113" s="5">
        <f t="shared" si="25"/>
        <v>0</v>
      </c>
      <c r="K113" s="5">
        <f t="shared" si="26"/>
        <v>0</v>
      </c>
      <c r="L113" s="5">
        <f t="shared" si="27"/>
        <v>0</v>
      </c>
      <c r="M113" s="5">
        <f t="shared" si="28"/>
        <v>0</v>
      </c>
      <c r="N113" s="5"/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/>
      <c r="U113" s="5">
        <v>0</v>
      </c>
      <c r="V113" s="5">
        <v>0</v>
      </c>
      <c r="W113" s="5">
        <v>0</v>
      </c>
      <c r="X113" s="5">
        <v>0</v>
      </c>
      <c r="Y113" s="5">
        <v>0</v>
      </c>
    </row>
    <row r="114" spans="1:25" ht="12.75">
      <c r="A114" s="16">
        <f aca="true" t="shared" si="29" ref="A114:A145">A113+1</f>
        <v>98</v>
      </c>
      <c r="B114" s="3" t="s">
        <v>292</v>
      </c>
      <c r="C114" s="5">
        <f t="shared" si="21"/>
        <v>0.01</v>
      </c>
      <c r="D114" s="5">
        <f t="shared" si="22"/>
        <v>4581994.15</v>
      </c>
      <c r="E114" s="5"/>
      <c r="F114" s="5"/>
      <c r="G114" s="5">
        <f t="shared" si="23"/>
        <v>2290997</v>
      </c>
      <c r="H114" s="5"/>
      <c r="I114" s="5">
        <f t="shared" si="24"/>
        <v>2290997.08</v>
      </c>
      <c r="J114" s="5">
        <f t="shared" si="25"/>
        <v>0</v>
      </c>
      <c r="K114" s="5">
        <f t="shared" si="26"/>
        <v>0</v>
      </c>
      <c r="L114" s="5">
        <f t="shared" si="27"/>
        <v>0</v>
      </c>
      <c r="M114" s="5">
        <f t="shared" si="28"/>
        <v>0</v>
      </c>
      <c r="N114" s="5"/>
      <c r="O114" s="5">
        <v>0.01</v>
      </c>
      <c r="P114" s="5">
        <v>0</v>
      </c>
      <c r="Q114" s="5">
        <v>0</v>
      </c>
      <c r="R114" s="5">
        <v>0</v>
      </c>
      <c r="S114" s="5">
        <v>0</v>
      </c>
      <c r="T114" s="5"/>
      <c r="U114" s="5">
        <v>4581994.15</v>
      </c>
      <c r="V114" s="5">
        <v>0</v>
      </c>
      <c r="W114" s="5">
        <v>0</v>
      </c>
      <c r="X114" s="5">
        <v>0</v>
      </c>
      <c r="Y114" s="5">
        <v>0</v>
      </c>
    </row>
    <row r="115" spans="1:25" ht="12.75">
      <c r="A115" s="16">
        <f t="shared" si="29"/>
        <v>99</v>
      </c>
      <c r="B115" s="3" t="s">
        <v>293</v>
      </c>
      <c r="C115" s="5">
        <f t="shared" si="21"/>
        <v>6426309.43</v>
      </c>
      <c r="D115" s="5">
        <f t="shared" si="22"/>
        <v>0.04</v>
      </c>
      <c r="E115" s="5"/>
      <c r="F115" s="5"/>
      <c r="G115" s="5">
        <f t="shared" si="23"/>
        <v>3213155</v>
      </c>
      <c r="H115" s="5"/>
      <c r="I115" s="5">
        <f t="shared" si="24"/>
        <v>3213154.7199999997</v>
      </c>
      <c r="J115" s="5">
        <f t="shared" si="25"/>
        <v>0.005</v>
      </c>
      <c r="K115" s="5">
        <f t="shared" si="26"/>
        <v>0.005</v>
      </c>
      <c r="L115" s="5">
        <f t="shared" si="27"/>
        <v>0.005</v>
      </c>
      <c r="M115" s="5">
        <f t="shared" si="28"/>
        <v>0</v>
      </c>
      <c r="N115" s="5"/>
      <c r="O115" s="5">
        <v>6426309.43</v>
      </c>
      <c r="P115" s="5">
        <v>0</v>
      </c>
      <c r="Q115" s="5">
        <v>0</v>
      </c>
      <c r="R115" s="5">
        <v>0</v>
      </c>
      <c r="S115" s="5">
        <v>0</v>
      </c>
      <c r="T115" s="5"/>
      <c r="U115" s="5">
        <v>0.01</v>
      </c>
      <c r="V115" s="5">
        <v>0.01</v>
      </c>
      <c r="W115" s="5">
        <v>0.01</v>
      </c>
      <c r="X115" s="5">
        <v>0.01</v>
      </c>
      <c r="Y115" s="5">
        <v>0</v>
      </c>
    </row>
    <row r="116" spans="1:25" ht="12.75">
      <c r="A116" s="16">
        <f t="shared" si="29"/>
        <v>100</v>
      </c>
      <c r="B116" s="3" t="s">
        <v>294</v>
      </c>
      <c r="C116" s="5">
        <f t="shared" si="21"/>
        <v>74180.69</v>
      </c>
      <c r="D116" s="5">
        <f t="shared" si="22"/>
        <v>402692.09</v>
      </c>
      <c r="E116" s="5"/>
      <c r="F116" s="5"/>
      <c r="G116" s="5">
        <f t="shared" si="23"/>
        <v>238436</v>
      </c>
      <c r="H116" s="5"/>
      <c r="I116" s="5">
        <f t="shared" si="24"/>
        <v>238436.39</v>
      </c>
      <c r="J116" s="5">
        <f t="shared" si="25"/>
        <v>0</v>
      </c>
      <c r="K116" s="5">
        <f t="shared" si="26"/>
        <v>0</v>
      </c>
      <c r="L116" s="5">
        <f t="shared" si="27"/>
        <v>0</v>
      </c>
      <c r="M116" s="5">
        <f t="shared" si="28"/>
        <v>0</v>
      </c>
      <c r="N116" s="5"/>
      <c r="O116" s="5">
        <v>74180.69</v>
      </c>
      <c r="P116" s="5">
        <v>0</v>
      </c>
      <c r="Q116" s="5">
        <v>0</v>
      </c>
      <c r="R116" s="5">
        <v>0</v>
      </c>
      <c r="S116" s="5">
        <v>0</v>
      </c>
      <c r="T116" s="5"/>
      <c r="U116" s="5">
        <v>402692.09</v>
      </c>
      <c r="V116" s="5">
        <v>0</v>
      </c>
      <c r="W116" s="5">
        <v>0</v>
      </c>
      <c r="X116" s="5">
        <v>0</v>
      </c>
      <c r="Y116" s="5">
        <v>0</v>
      </c>
    </row>
    <row r="117" spans="1:25" ht="12.75">
      <c r="A117" s="16">
        <f t="shared" si="29"/>
        <v>101</v>
      </c>
      <c r="B117" s="3" t="s">
        <v>295</v>
      </c>
      <c r="C117" s="5">
        <f t="shared" si="21"/>
        <v>0</v>
      </c>
      <c r="D117" s="5">
        <f t="shared" si="22"/>
        <v>387030.09</v>
      </c>
      <c r="E117" s="5"/>
      <c r="F117" s="5"/>
      <c r="G117" s="5">
        <f t="shared" si="23"/>
        <v>193515</v>
      </c>
      <c r="H117" s="5"/>
      <c r="I117" s="5">
        <f t="shared" si="24"/>
        <v>193515.045</v>
      </c>
      <c r="J117" s="5">
        <f t="shared" si="25"/>
        <v>0</v>
      </c>
      <c r="K117" s="5">
        <f t="shared" si="26"/>
        <v>0</v>
      </c>
      <c r="L117" s="5">
        <f t="shared" si="27"/>
        <v>0</v>
      </c>
      <c r="M117" s="5">
        <f t="shared" si="28"/>
        <v>0</v>
      </c>
      <c r="N117" s="5"/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5">
        <v>387030.09</v>
      </c>
      <c r="V117" s="5">
        <v>0</v>
      </c>
      <c r="W117" s="5">
        <v>0</v>
      </c>
      <c r="X117" s="5">
        <v>0</v>
      </c>
      <c r="Y117" s="5">
        <v>0</v>
      </c>
    </row>
    <row r="118" spans="1:25" ht="12.75">
      <c r="A118" s="16">
        <f t="shared" si="29"/>
        <v>102</v>
      </c>
      <c r="B118" s="3" t="s">
        <v>296</v>
      </c>
      <c r="C118" s="5">
        <f t="shared" si="21"/>
        <v>51316.83</v>
      </c>
      <c r="D118" s="5">
        <f t="shared" si="22"/>
        <v>51228.55</v>
      </c>
      <c r="E118" s="5"/>
      <c r="F118" s="5"/>
      <c r="G118" s="5">
        <f t="shared" si="23"/>
        <v>51273</v>
      </c>
      <c r="H118" s="5"/>
      <c r="I118" s="5">
        <f t="shared" si="24"/>
        <v>51272.69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5">
        <f t="shared" si="28"/>
        <v>0</v>
      </c>
      <c r="N118" s="5"/>
      <c r="O118" s="5">
        <v>51316.83</v>
      </c>
      <c r="P118" s="5">
        <v>0</v>
      </c>
      <c r="Q118" s="5">
        <v>0</v>
      </c>
      <c r="R118" s="5">
        <v>0</v>
      </c>
      <c r="S118" s="5">
        <v>0</v>
      </c>
      <c r="T118" s="5"/>
      <c r="U118" s="5">
        <v>51228.55</v>
      </c>
      <c r="V118" s="5">
        <v>0</v>
      </c>
      <c r="W118" s="5">
        <v>0</v>
      </c>
      <c r="X118" s="5">
        <v>0</v>
      </c>
      <c r="Y118" s="5">
        <v>0</v>
      </c>
    </row>
    <row r="119" spans="1:25" ht="12.75">
      <c r="A119" s="16">
        <f t="shared" si="29"/>
        <v>103</v>
      </c>
      <c r="B119" s="3" t="s">
        <v>297</v>
      </c>
      <c r="C119" s="5">
        <f t="shared" si="21"/>
        <v>2683.3</v>
      </c>
      <c r="D119" s="5">
        <f t="shared" si="22"/>
        <v>4083.29</v>
      </c>
      <c r="E119" s="5"/>
      <c r="F119" s="5"/>
      <c r="G119" s="5">
        <f t="shared" si="23"/>
        <v>3383</v>
      </c>
      <c r="H119" s="5"/>
      <c r="I119" s="5">
        <f t="shared" si="24"/>
        <v>0</v>
      </c>
      <c r="J119" s="5">
        <f t="shared" si="25"/>
        <v>3383.295</v>
      </c>
      <c r="K119" s="5">
        <f t="shared" si="26"/>
        <v>0</v>
      </c>
      <c r="L119" s="5">
        <f t="shared" si="27"/>
        <v>0</v>
      </c>
      <c r="M119" s="5">
        <f t="shared" si="28"/>
        <v>0</v>
      </c>
      <c r="N119" s="5"/>
      <c r="O119" s="5">
        <v>0</v>
      </c>
      <c r="P119" s="5">
        <v>2683.3</v>
      </c>
      <c r="Q119" s="5">
        <v>0</v>
      </c>
      <c r="R119" s="5">
        <v>0</v>
      </c>
      <c r="S119" s="5">
        <v>0</v>
      </c>
      <c r="T119" s="5"/>
      <c r="U119" s="5">
        <v>0</v>
      </c>
      <c r="V119" s="5">
        <v>4083.29</v>
      </c>
      <c r="W119" s="5">
        <v>0</v>
      </c>
      <c r="X119" s="5">
        <v>0</v>
      </c>
      <c r="Y119" s="5">
        <v>0</v>
      </c>
    </row>
    <row r="120" spans="1:25" ht="12.75">
      <c r="A120" s="16">
        <f t="shared" si="29"/>
        <v>104</v>
      </c>
      <c r="B120" s="3" t="s">
        <v>298</v>
      </c>
      <c r="C120" s="5">
        <f t="shared" si="21"/>
        <v>162364.3</v>
      </c>
      <c r="D120" s="5">
        <f t="shared" si="22"/>
        <v>203819.01</v>
      </c>
      <c r="E120" s="5"/>
      <c r="F120" s="5"/>
      <c r="G120" s="5">
        <f t="shared" si="23"/>
        <v>183092</v>
      </c>
      <c r="H120" s="5"/>
      <c r="I120" s="5">
        <f t="shared" si="24"/>
        <v>0</v>
      </c>
      <c r="J120" s="5">
        <f t="shared" si="25"/>
        <v>183091.655</v>
      </c>
      <c r="K120" s="5">
        <f t="shared" si="26"/>
        <v>0</v>
      </c>
      <c r="L120" s="5">
        <f t="shared" si="27"/>
        <v>0</v>
      </c>
      <c r="M120" s="5">
        <f t="shared" si="28"/>
        <v>0</v>
      </c>
      <c r="N120" s="5"/>
      <c r="O120" s="5">
        <v>0</v>
      </c>
      <c r="P120" s="5">
        <v>162364.3</v>
      </c>
      <c r="Q120" s="5">
        <v>0</v>
      </c>
      <c r="R120" s="5">
        <v>0</v>
      </c>
      <c r="S120" s="5">
        <v>0</v>
      </c>
      <c r="T120" s="5"/>
      <c r="U120" s="5">
        <v>0</v>
      </c>
      <c r="V120" s="5">
        <v>203819.01</v>
      </c>
      <c r="W120" s="5">
        <v>0</v>
      </c>
      <c r="X120" s="5">
        <v>0</v>
      </c>
      <c r="Y120" s="5">
        <v>0</v>
      </c>
    </row>
    <row r="121" spans="1:25" ht="12.75">
      <c r="A121" s="16">
        <f t="shared" si="29"/>
        <v>105</v>
      </c>
      <c r="B121" s="3" t="s">
        <v>299</v>
      </c>
      <c r="C121" s="5">
        <f aca="true" t="shared" si="30" ref="C121:C144">SUM(O121:S121)</f>
        <v>67101.33</v>
      </c>
      <c r="D121" s="5">
        <f aca="true" t="shared" si="31" ref="D121:D144">SUM(U121:Y121)</f>
        <v>0</v>
      </c>
      <c r="E121" s="5"/>
      <c r="F121" s="5"/>
      <c r="G121" s="5">
        <f aca="true" t="shared" si="32" ref="G121:G149">ROUND(SUM(C121:F121)/2,0)</f>
        <v>33551</v>
      </c>
      <c r="H121" s="5"/>
      <c r="I121" s="5">
        <f aca="true" t="shared" si="33" ref="I121:I144">(+O121+U121)/2</f>
        <v>197.39</v>
      </c>
      <c r="J121" s="5">
        <f aca="true" t="shared" si="34" ref="J121:J144">(+P121+V121)/2</f>
        <v>0</v>
      </c>
      <c r="K121" s="5">
        <f aca="true" t="shared" si="35" ref="K121:K144">(+Q121+W121)/2</f>
        <v>0</v>
      </c>
      <c r="L121" s="5">
        <f aca="true" t="shared" si="36" ref="L121:L144">(+R121+X121)/2</f>
        <v>33353.275</v>
      </c>
      <c r="M121" s="5">
        <f aca="true" t="shared" si="37" ref="M121:M144">(+S121+Y121)/2</f>
        <v>0</v>
      </c>
      <c r="N121" s="5"/>
      <c r="O121" s="5">
        <v>394.78</v>
      </c>
      <c r="P121" s="5">
        <v>0</v>
      </c>
      <c r="Q121" s="5">
        <v>0</v>
      </c>
      <c r="R121" s="5">
        <v>66706.55</v>
      </c>
      <c r="S121" s="5">
        <v>0</v>
      </c>
      <c r="T121" s="5"/>
      <c r="U121" s="5">
        <v>0</v>
      </c>
      <c r="V121" s="5">
        <v>0</v>
      </c>
      <c r="W121" s="5">
        <v>0</v>
      </c>
      <c r="X121" s="5">
        <v>0</v>
      </c>
      <c r="Y121" s="5">
        <v>0</v>
      </c>
    </row>
    <row r="122" spans="1:25" ht="12.75">
      <c r="A122" s="16">
        <f t="shared" si="29"/>
        <v>106</v>
      </c>
      <c r="B122" s="3" t="s">
        <v>300</v>
      </c>
      <c r="C122" s="5">
        <f t="shared" si="30"/>
        <v>1733281.3900000001</v>
      </c>
      <c r="D122" s="5">
        <f t="shared" si="31"/>
        <v>2175821.33</v>
      </c>
      <c r="E122" s="5"/>
      <c r="F122" s="5"/>
      <c r="G122" s="5">
        <f t="shared" si="32"/>
        <v>1954551</v>
      </c>
      <c r="H122" s="5"/>
      <c r="I122" s="5">
        <f t="shared" si="33"/>
        <v>291561.11</v>
      </c>
      <c r="J122" s="5">
        <f t="shared" si="34"/>
        <v>622745.95</v>
      </c>
      <c r="K122" s="5">
        <f t="shared" si="35"/>
        <v>300867.64</v>
      </c>
      <c r="L122" s="5">
        <f t="shared" si="36"/>
        <v>739376.66</v>
      </c>
      <c r="M122" s="5">
        <f t="shared" si="37"/>
        <v>0</v>
      </c>
      <c r="N122" s="5"/>
      <c r="O122" s="5">
        <v>258554.19</v>
      </c>
      <c r="P122" s="5">
        <v>552246.41</v>
      </c>
      <c r="Q122" s="5">
        <v>266807.15</v>
      </c>
      <c r="R122" s="5">
        <v>655673.64</v>
      </c>
      <c r="S122" s="5">
        <v>0</v>
      </c>
      <c r="T122" s="5"/>
      <c r="U122" s="5">
        <v>324568.03</v>
      </c>
      <c r="V122" s="5">
        <v>693245.49</v>
      </c>
      <c r="W122" s="5">
        <v>334928.13</v>
      </c>
      <c r="X122" s="5">
        <v>823079.68</v>
      </c>
      <c r="Y122" s="5">
        <v>0</v>
      </c>
    </row>
    <row r="123" spans="1:25" ht="12.75">
      <c r="A123" s="16">
        <f t="shared" si="29"/>
        <v>107</v>
      </c>
      <c r="B123" s="3" t="s">
        <v>301</v>
      </c>
      <c r="C123" s="5">
        <f t="shared" si="30"/>
        <v>0</v>
      </c>
      <c r="D123" s="5">
        <f t="shared" si="31"/>
        <v>0</v>
      </c>
      <c r="E123" s="5"/>
      <c r="F123" s="5"/>
      <c r="G123" s="5">
        <f t="shared" si="32"/>
        <v>0</v>
      </c>
      <c r="H123" s="5"/>
      <c r="I123" s="5">
        <f t="shared" si="33"/>
        <v>0</v>
      </c>
      <c r="J123" s="5">
        <f t="shared" si="34"/>
        <v>0</v>
      </c>
      <c r="K123" s="5">
        <f t="shared" si="35"/>
        <v>0</v>
      </c>
      <c r="L123" s="5">
        <f t="shared" si="36"/>
        <v>0</v>
      </c>
      <c r="M123" s="5">
        <f t="shared" si="37"/>
        <v>0</v>
      </c>
      <c r="N123" s="5"/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/>
      <c r="U123" s="5">
        <v>0</v>
      </c>
      <c r="V123" s="5">
        <v>0</v>
      </c>
      <c r="W123" s="5">
        <v>0</v>
      </c>
      <c r="X123" s="5">
        <v>0</v>
      </c>
      <c r="Y123" s="5">
        <v>0</v>
      </c>
    </row>
    <row r="124" spans="1:25" ht="12.75">
      <c r="A124" s="16">
        <f t="shared" si="29"/>
        <v>108</v>
      </c>
      <c r="B124" s="3" t="s">
        <v>135</v>
      </c>
      <c r="C124" s="5">
        <f t="shared" si="30"/>
        <v>588114.02</v>
      </c>
      <c r="D124" s="5">
        <f t="shared" si="31"/>
        <v>0</v>
      </c>
      <c r="E124" s="5"/>
      <c r="F124" s="5"/>
      <c r="G124" s="5">
        <f t="shared" si="32"/>
        <v>294057</v>
      </c>
      <c r="H124" s="5"/>
      <c r="I124" s="5">
        <f t="shared" si="33"/>
        <v>294057.01</v>
      </c>
      <c r="J124" s="5">
        <f t="shared" si="34"/>
        <v>0</v>
      </c>
      <c r="K124" s="5">
        <f t="shared" si="35"/>
        <v>0</v>
      </c>
      <c r="L124" s="5">
        <f t="shared" si="36"/>
        <v>0</v>
      </c>
      <c r="M124" s="5">
        <f t="shared" si="37"/>
        <v>0</v>
      </c>
      <c r="N124" s="5"/>
      <c r="O124" s="5">
        <v>588114.02</v>
      </c>
      <c r="P124" s="5">
        <v>0</v>
      </c>
      <c r="Q124" s="5">
        <v>0</v>
      </c>
      <c r="R124" s="5">
        <v>0</v>
      </c>
      <c r="S124" s="5">
        <v>0</v>
      </c>
      <c r="T124" s="5"/>
      <c r="U124" s="5">
        <v>0</v>
      </c>
      <c r="V124" s="5">
        <v>0</v>
      </c>
      <c r="W124" s="5">
        <v>0</v>
      </c>
      <c r="X124" s="5">
        <v>0</v>
      </c>
      <c r="Y124" s="5">
        <v>0</v>
      </c>
    </row>
    <row r="125" spans="1:25" ht="12.75">
      <c r="A125" s="16">
        <f t="shared" si="29"/>
        <v>109</v>
      </c>
      <c r="B125" s="3" t="s">
        <v>100</v>
      </c>
      <c r="C125" s="5">
        <f t="shared" si="30"/>
        <v>8797306.8</v>
      </c>
      <c r="D125" s="5">
        <f t="shared" si="31"/>
        <v>9055977.1</v>
      </c>
      <c r="E125" s="5"/>
      <c r="F125" s="5"/>
      <c r="G125" s="5">
        <f t="shared" si="32"/>
        <v>8926642</v>
      </c>
      <c r="H125" s="5"/>
      <c r="I125" s="5">
        <f t="shared" si="33"/>
        <v>7875761.075</v>
      </c>
      <c r="J125" s="5">
        <f t="shared" si="34"/>
        <v>239476.125</v>
      </c>
      <c r="K125" s="5">
        <f t="shared" si="35"/>
        <v>98587.475</v>
      </c>
      <c r="L125" s="5">
        <f t="shared" si="36"/>
        <v>712817.2749999999</v>
      </c>
      <c r="M125" s="5">
        <f t="shared" si="37"/>
        <v>0</v>
      </c>
      <c r="N125" s="5"/>
      <c r="O125" s="5">
        <v>7807003.4</v>
      </c>
      <c r="P125" s="5">
        <v>232626.45</v>
      </c>
      <c r="Q125" s="5">
        <v>85923.25</v>
      </c>
      <c r="R125" s="5">
        <v>671753.7</v>
      </c>
      <c r="S125" s="5">
        <v>0</v>
      </c>
      <c r="T125" s="5"/>
      <c r="U125" s="5">
        <v>7944518.75</v>
      </c>
      <c r="V125" s="5">
        <v>246325.8</v>
      </c>
      <c r="W125" s="5">
        <v>111251.7</v>
      </c>
      <c r="X125" s="5">
        <v>753880.85</v>
      </c>
      <c r="Y125" s="5">
        <v>0</v>
      </c>
    </row>
    <row r="126" spans="1:25" ht="12.75">
      <c r="A126" s="16">
        <f t="shared" si="29"/>
        <v>110</v>
      </c>
      <c r="B126" s="1" t="s">
        <v>302</v>
      </c>
      <c r="C126" s="5">
        <f t="shared" si="30"/>
        <v>4979873.43</v>
      </c>
      <c r="D126" s="5">
        <f t="shared" si="31"/>
        <v>8038111.4799999995</v>
      </c>
      <c r="E126" s="5"/>
      <c r="F126" s="5"/>
      <c r="G126" s="5">
        <f t="shared" si="32"/>
        <v>6508992</v>
      </c>
      <c r="H126" s="5"/>
      <c r="I126" s="5">
        <f t="shared" si="33"/>
        <v>1928680.805</v>
      </c>
      <c r="J126" s="5">
        <f t="shared" si="34"/>
        <v>2129737.95</v>
      </c>
      <c r="K126" s="5">
        <f t="shared" si="35"/>
        <v>621008.8600000001</v>
      </c>
      <c r="L126" s="5">
        <f t="shared" si="36"/>
        <v>1829564.8399999999</v>
      </c>
      <c r="M126" s="5">
        <f t="shared" si="37"/>
        <v>0</v>
      </c>
      <c r="N126" s="5"/>
      <c r="O126" s="5">
        <v>1894887.43</v>
      </c>
      <c r="P126" s="5">
        <v>728047.8</v>
      </c>
      <c r="Q126" s="5">
        <v>598816.41</v>
      </c>
      <c r="R126" s="5">
        <v>1758121.79</v>
      </c>
      <c r="S126" s="5">
        <v>0</v>
      </c>
      <c r="T126" s="5"/>
      <c r="U126" s="5">
        <v>1962474.18</v>
      </c>
      <c r="V126" s="5">
        <v>3531428.1</v>
      </c>
      <c r="W126" s="5">
        <v>643201.31</v>
      </c>
      <c r="X126" s="5">
        <v>1901007.89</v>
      </c>
      <c r="Y126" s="5">
        <v>0</v>
      </c>
    </row>
    <row r="127" spans="1:25" ht="12.75">
      <c r="A127" s="16">
        <f t="shared" si="29"/>
        <v>111</v>
      </c>
      <c r="B127" s="1" t="s">
        <v>303</v>
      </c>
      <c r="C127" s="5">
        <f t="shared" si="30"/>
        <v>106089790.09</v>
      </c>
      <c r="D127" s="5">
        <f t="shared" si="31"/>
        <v>45968293.69</v>
      </c>
      <c r="E127" s="5"/>
      <c r="F127" s="5"/>
      <c r="G127" s="5">
        <f t="shared" si="32"/>
        <v>76029042</v>
      </c>
      <c r="H127" s="5"/>
      <c r="I127" s="5">
        <f t="shared" si="33"/>
        <v>0</v>
      </c>
      <c r="J127" s="5">
        <f t="shared" si="34"/>
        <v>76029041.89</v>
      </c>
      <c r="K127" s="5">
        <f t="shared" si="35"/>
        <v>0</v>
      </c>
      <c r="L127" s="5">
        <f t="shared" si="36"/>
        <v>0</v>
      </c>
      <c r="M127" s="5">
        <f t="shared" si="37"/>
        <v>0</v>
      </c>
      <c r="N127" s="5"/>
      <c r="O127" s="5">
        <v>0</v>
      </c>
      <c r="P127" s="6">
        <v>106089790.09</v>
      </c>
      <c r="Q127" s="5">
        <v>0</v>
      </c>
      <c r="R127" s="5">
        <v>0</v>
      </c>
      <c r="S127" s="5">
        <v>0</v>
      </c>
      <c r="T127" s="5"/>
      <c r="U127" s="5">
        <v>0</v>
      </c>
      <c r="V127" s="6">
        <v>45968293.69</v>
      </c>
      <c r="W127" s="5">
        <v>0</v>
      </c>
      <c r="X127" s="5">
        <v>0</v>
      </c>
      <c r="Y127" s="5">
        <v>0</v>
      </c>
    </row>
    <row r="128" spans="1:25" ht="12.75">
      <c r="A128" s="16">
        <f t="shared" si="29"/>
        <v>112</v>
      </c>
      <c r="B128" s="3" t="s">
        <v>304</v>
      </c>
      <c r="C128" s="5">
        <f t="shared" si="30"/>
        <v>-67292785.21</v>
      </c>
      <c r="D128" s="5">
        <f t="shared" si="31"/>
        <v>-40880552.21</v>
      </c>
      <c r="E128" s="5"/>
      <c r="F128" s="5"/>
      <c r="G128" s="5">
        <f t="shared" si="32"/>
        <v>-54086669</v>
      </c>
      <c r="H128" s="5"/>
      <c r="I128" s="5">
        <f t="shared" si="33"/>
        <v>0</v>
      </c>
      <c r="J128" s="5">
        <f t="shared" si="34"/>
        <v>-54086668.70999999</v>
      </c>
      <c r="K128" s="5">
        <f t="shared" si="35"/>
        <v>0</v>
      </c>
      <c r="L128" s="5">
        <f t="shared" si="36"/>
        <v>0</v>
      </c>
      <c r="M128" s="5">
        <f t="shared" si="37"/>
        <v>0</v>
      </c>
      <c r="N128" s="5"/>
      <c r="O128" s="5">
        <v>0</v>
      </c>
      <c r="P128" s="5">
        <v>-67292785.21</v>
      </c>
      <c r="Q128" s="5">
        <v>0</v>
      </c>
      <c r="R128" s="5">
        <v>0</v>
      </c>
      <c r="S128" s="5">
        <v>0</v>
      </c>
      <c r="T128" s="5"/>
      <c r="U128" s="5">
        <v>0</v>
      </c>
      <c r="V128" s="5">
        <v>-40880552.21</v>
      </c>
      <c r="W128" s="5">
        <v>0</v>
      </c>
      <c r="X128" s="5">
        <v>0</v>
      </c>
      <c r="Y128" s="5">
        <v>0</v>
      </c>
    </row>
    <row r="129" spans="1:25" ht="12.75">
      <c r="A129" s="16">
        <f t="shared" si="29"/>
        <v>113</v>
      </c>
      <c r="B129" s="1" t="s">
        <v>305</v>
      </c>
      <c r="C129" s="5">
        <f t="shared" si="30"/>
        <v>90755517.81</v>
      </c>
      <c r="D129" s="5">
        <f t="shared" si="31"/>
        <v>71290274.46</v>
      </c>
      <c r="E129" s="5"/>
      <c r="F129" s="5"/>
      <c r="G129" s="5">
        <f t="shared" si="32"/>
        <v>81022896</v>
      </c>
      <c r="H129" s="5"/>
      <c r="I129" s="5">
        <f t="shared" si="33"/>
        <v>0</v>
      </c>
      <c r="J129" s="5">
        <f t="shared" si="34"/>
        <v>81022896.13499999</v>
      </c>
      <c r="K129" s="5">
        <f t="shared" si="35"/>
        <v>0</v>
      </c>
      <c r="L129" s="5">
        <f t="shared" si="36"/>
        <v>0</v>
      </c>
      <c r="M129" s="5">
        <f t="shared" si="37"/>
        <v>0</v>
      </c>
      <c r="N129" s="5"/>
      <c r="O129" s="5">
        <v>0</v>
      </c>
      <c r="P129" s="5">
        <v>90755517.81</v>
      </c>
      <c r="Q129" s="5">
        <v>0</v>
      </c>
      <c r="R129" s="5">
        <v>0</v>
      </c>
      <c r="S129" s="5">
        <v>0</v>
      </c>
      <c r="T129" s="5"/>
      <c r="U129" s="5">
        <v>0</v>
      </c>
      <c r="V129" s="5">
        <v>71290274.46</v>
      </c>
      <c r="W129" s="5">
        <v>0</v>
      </c>
      <c r="X129" s="5">
        <v>0</v>
      </c>
      <c r="Y129" s="5">
        <v>0</v>
      </c>
    </row>
    <row r="130" spans="1:25" ht="12.75">
      <c r="A130" s="16">
        <f t="shared" si="29"/>
        <v>114</v>
      </c>
      <c r="B130" s="3" t="s">
        <v>306</v>
      </c>
      <c r="C130" s="5">
        <f t="shared" si="30"/>
        <v>-94157394</v>
      </c>
      <c r="D130" s="5">
        <f t="shared" si="31"/>
        <v>-73130221.62</v>
      </c>
      <c r="E130" s="5"/>
      <c r="F130" s="5"/>
      <c r="G130" s="5">
        <f t="shared" si="32"/>
        <v>-83643808</v>
      </c>
      <c r="H130" s="5"/>
      <c r="I130" s="5">
        <f t="shared" si="33"/>
        <v>0</v>
      </c>
      <c r="J130" s="5">
        <f t="shared" si="34"/>
        <v>-83643807.81</v>
      </c>
      <c r="K130" s="5">
        <f t="shared" si="35"/>
        <v>0</v>
      </c>
      <c r="L130" s="5">
        <f t="shared" si="36"/>
        <v>0</v>
      </c>
      <c r="M130" s="5">
        <f t="shared" si="37"/>
        <v>0</v>
      </c>
      <c r="N130" s="5"/>
      <c r="O130" s="5">
        <v>0</v>
      </c>
      <c r="P130" s="5">
        <v>-94157394</v>
      </c>
      <c r="Q130" s="5">
        <v>0</v>
      </c>
      <c r="R130" s="5">
        <v>0</v>
      </c>
      <c r="S130" s="5">
        <v>0</v>
      </c>
      <c r="T130" s="5"/>
      <c r="U130" s="5">
        <v>0</v>
      </c>
      <c r="V130" s="5">
        <v>-73130221.62</v>
      </c>
      <c r="W130" s="5">
        <v>0</v>
      </c>
      <c r="X130" s="5">
        <v>0</v>
      </c>
      <c r="Y130" s="5">
        <v>0</v>
      </c>
    </row>
    <row r="131" spans="1:25" ht="12.75">
      <c r="A131" s="16">
        <f t="shared" si="29"/>
        <v>115</v>
      </c>
      <c r="B131" s="3" t="s">
        <v>307</v>
      </c>
      <c r="C131" s="5">
        <f t="shared" si="30"/>
        <v>449880733.67</v>
      </c>
      <c r="D131" s="5">
        <f t="shared" si="31"/>
        <v>423345476.45</v>
      </c>
      <c r="E131" s="5"/>
      <c r="F131" s="5"/>
      <c r="G131" s="5">
        <f t="shared" si="32"/>
        <v>436613105</v>
      </c>
      <c r="H131" s="5"/>
      <c r="I131" s="5">
        <f t="shared" si="33"/>
        <v>0</v>
      </c>
      <c r="J131" s="5">
        <f t="shared" si="34"/>
        <v>436613105.06</v>
      </c>
      <c r="K131" s="5">
        <f t="shared" si="35"/>
        <v>0</v>
      </c>
      <c r="L131" s="5">
        <f t="shared" si="36"/>
        <v>0</v>
      </c>
      <c r="M131" s="5">
        <f t="shared" si="37"/>
        <v>0</v>
      </c>
      <c r="N131" s="5"/>
      <c r="O131" s="5">
        <v>0</v>
      </c>
      <c r="P131" s="5">
        <v>449880733.67</v>
      </c>
      <c r="Q131" s="5">
        <v>0</v>
      </c>
      <c r="R131" s="5">
        <v>0</v>
      </c>
      <c r="S131" s="5">
        <v>0</v>
      </c>
      <c r="T131" s="5"/>
      <c r="U131" s="5">
        <v>0</v>
      </c>
      <c r="V131" s="5">
        <v>423345476.45</v>
      </c>
      <c r="W131" s="5">
        <v>0</v>
      </c>
      <c r="X131" s="5">
        <v>0</v>
      </c>
      <c r="Y131" s="5">
        <v>0</v>
      </c>
    </row>
    <row r="132" spans="1:25" ht="12.75">
      <c r="A132" s="16">
        <f t="shared" si="29"/>
        <v>116</v>
      </c>
      <c r="B132" s="1" t="s">
        <v>308</v>
      </c>
      <c r="C132" s="5">
        <f t="shared" si="30"/>
        <v>5319016.21</v>
      </c>
      <c r="D132" s="5">
        <f t="shared" si="31"/>
        <v>423295.95</v>
      </c>
      <c r="E132" s="5"/>
      <c r="F132" s="5"/>
      <c r="G132" s="5">
        <f t="shared" si="32"/>
        <v>2871156</v>
      </c>
      <c r="H132" s="5"/>
      <c r="I132" s="5">
        <f t="shared" si="33"/>
        <v>0</v>
      </c>
      <c r="J132" s="5">
        <f t="shared" si="34"/>
        <v>2871156.08</v>
      </c>
      <c r="K132" s="5">
        <f t="shared" si="35"/>
        <v>0</v>
      </c>
      <c r="L132" s="5">
        <f t="shared" si="36"/>
        <v>0</v>
      </c>
      <c r="M132" s="5">
        <f t="shared" si="37"/>
        <v>0</v>
      </c>
      <c r="N132" s="5"/>
      <c r="O132" s="5">
        <v>0</v>
      </c>
      <c r="P132" s="5">
        <v>5319016.21</v>
      </c>
      <c r="Q132" s="5">
        <v>0</v>
      </c>
      <c r="R132" s="5">
        <v>0</v>
      </c>
      <c r="S132" s="5">
        <v>0</v>
      </c>
      <c r="T132" s="5"/>
      <c r="U132" s="5">
        <v>0</v>
      </c>
      <c r="V132" s="5">
        <v>423295.95</v>
      </c>
      <c r="W132" s="5">
        <v>0</v>
      </c>
      <c r="X132" s="5">
        <v>0</v>
      </c>
      <c r="Y132" s="5">
        <v>0</v>
      </c>
    </row>
    <row r="133" spans="1:25" ht="12.75">
      <c r="A133" s="16">
        <f t="shared" si="29"/>
        <v>117</v>
      </c>
      <c r="B133" s="1" t="s">
        <v>309</v>
      </c>
      <c r="C133" s="5">
        <f t="shared" si="30"/>
        <v>8873732.93</v>
      </c>
      <c r="D133" s="5">
        <f t="shared" si="31"/>
        <v>18404935.21</v>
      </c>
      <c r="E133" s="5"/>
      <c r="F133" s="5"/>
      <c r="G133" s="5">
        <f t="shared" si="32"/>
        <v>13639334</v>
      </c>
      <c r="H133" s="5"/>
      <c r="I133" s="5">
        <f t="shared" si="33"/>
        <v>0</v>
      </c>
      <c r="J133" s="5">
        <f t="shared" si="34"/>
        <v>13639334.07</v>
      </c>
      <c r="K133" s="5">
        <f t="shared" si="35"/>
        <v>0</v>
      </c>
      <c r="L133" s="5">
        <f t="shared" si="36"/>
        <v>0</v>
      </c>
      <c r="M133" s="5">
        <f t="shared" si="37"/>
        <v>0</v>
      </c>
      <c r="N133" s="5"/>
      <c r="O133" s="5">
        <v>0</v>
      </c>
      <c r="P133" s="5">
        <v>8873732.93</v>
      </c>
      <c r="Q133" s="5">
        <v>0</v>
      </c>
      <c r="R133" s="5">
        <v>0</v>
      </c>
      <c r="S133" s="5">
        <v>0</v>
      </c>
      <c r="T133" s="5"/>
      <c r="U133" s="5">
        <v>0</v>
      </c>
      <c r="V133" s="5">
        <v>18404935.21</v>
      </c>
      <c r="W133" s="5">
        <v>0</v>
      </c>
      <c r="X133" s="5">
        <v>0</v>
      </c>
      <c r="Y133" s="5">
        <v>0</v>
      </c>
    </row>
    <row r="134" spans="1:25" ht="12.75">
      <c r="A134" s="16">
        <f t="shared" si="29"/>
        <v>118</v>
      </c>
      <c r="B134" s="1" t="s">
        <v>310</v>
      </c>
      <c r="C134" s="5">
        <f t="shared" si="30"/>
        <v>0.15</v>
      </c>
      <c r="D134" s="5">
        <f t="shared" si="31"/>
        <v>-0.15</v>
      </c>
      <c r="E134" s="5"/>
      <c r="F134" s="5"/>
      <c r="G134" s="5">
        <f t="shared" si="32"/>
        <v>0</v>
      </c>
      <c r="H134" s="5"/>
      <c r="I134" s="5">
        <f t="shared" si="33"/>
        <v>0</v>
      </c>
      <c r="J134" s="5">
        <f t="shared" si="34"/>
        <v>0</v>
      </c>
      <c r="K134" s="5">
        <f t="shared" si="35"/>
        <v>0</v>
      </c>
      <c r="L134" s="5">
        <f t="shared" si="36"/>
        <v>0</v>
      </c>
      <c r="M134" s="5">
        <f t="shared" si="37"/>
        <v>0</v>
      </c>
      <c r="N134" s="5"/>
      <c r="O134" s="5">
        <v>0</v>
      </c>
      <c r="P134" s="5">
        <v>0.15</v>
      </c>
      <c r="Q134" s="5">
        <v>0</v>
      </c>
      <c r="R134" s="5">
        <v>0</v>
      </c>
      <c r="S134" s="5">
        <v>0</v>
      </c>
      <c r="T134" s="5"/>
      <c r="U134" s="5">
        <v>0</v>
      </c>
      <c r="V134" s="5">
        <v>-0.15</v>
      </c>
      <c r="W134" s="5">
        <v>0</v>
      </c>
      <c r="X134" s="5">
        <v>0</v>
      </c>
      <c r="Y134" s="5">
        <v>0</v>
      </c>
    </row>
    <row r="135" spans="1:25" ht="12.75">
      <c r="A135" s="16">
        <f t="shared" si="29"/>
        <v>119</v>
      </c>
      <c r="B135" s="1" t="s">
        <v>43</v>
      </c>
      <c r="C135" s="5">
        <f t="shared" si="30"/>
        <v>5158406.11</v>
      </c>
      <c r="D135" s="5">
        <f t="shared" si="31"/>
        <v>5479217.36</v>
      </c>
      <c r="E135" s="5"/>
      <c r="F135" s="5"/>
      <c r="G135" s="5">
        <f t="shared" si="32"/>
        <v>5318812</v>
      </c>
      <c r="H135" s="5"/>
      <c r="I135" s="5">
        <f t="shared" si="33"/>
        <v>1072441.635</v>
      </c>
      <c r="J135" s="5">
        <f t="shared" si="34"/>
        <v>2298630.625</v>
      </c>
      <c r="K135" s="5">
        <f t="shared" si="35"/>
        <v>906341.1950000001</v>
      </c>
      <c r="L135" s="5">
        <f t="shared" si="36"/>
        <v>1041398.28</v>
      </c>
      <c r="M135" s="5">
        <f t="shared" si="37"/>
        <v>0</v>
      </c>
      <c r="N135" s="5"/>
      <c r="O135" s="5">
        <v>1088033.81</v>
      </c>
      <c r="P135" s="5">
        <v>2202712.38</v>
      </c>
      <c r="Q135" s="5">
        <v>868279.41</v>
      </c>
      <c r="R135" s="5">
        <v>999380.51</v>
      </c>
      <c r="S135" s="5">
        <v>0</v>
      </c>
      <c r="T135" s="5"/>
      <c r="U135" s="5">
        <v>1056849.46</v>
      </c>
      <c r="V135" s="5">
        <v>2394548.87</v>
      </c>
      <c r="W135" s="5">
        <v>944402.98</v>
      </c>
      <c r="X135" s="5">
        <v>1083416.05</v>
      </c>
      <c r="Y135" s="5">
        <v>0</v>
      </c>
    </row>
    <row r="136" spans="1:25" ht="12.75">
      <c r="A136" s="16">
        <f t="shared" si="29"/>
        <v>120</v>
      </c>
      <c r="B136" s="1" t="s">
        <v>311</v>
      </c>
      <c r="C136" s="5">
        <f t="shared" si="30"/>
        <v>796769.92</v>
      </c>
      <c r="D136" s="5">
        <f t="shared" si="31"/>
        <v>869203.62</v>
      </c>
      <c r="E136" s="5"/>
      <c r="F136" s="5"/>
      <c r="G136" s="5">
        <f t="shared" si="32"/>
        <v>832987</v>
      </c>
      <c r="H136" s="5"/>
      <c r="I136" s="5">
        <f t="shared" si="33"/>
        <v>832986.77</v>
      </c>
      <c r="J136" s="5">
        <f t="shared" si="34"/>
        <v>0</v>
      </c>
      <c r="K136" s="5">
        <f t="shared" si="35"/>
        <v>0</v>
      </c>
      <c r="L136" s="5">
        <f t="shared" si="36"/>
        <v>0</v>
      </c>
      <c r="M136" s="5">
        <f t="shared" si="37"/>
        <v>0</v>
      </c>
      <c r="N136" s="5"/>
      <c r="O136" s="5">
        <v>796769.92</v>
      </c>
      <c r="P136" s="5">
        <v>0</v>
      </c>
      <c r="Q136" s="5">
        <v>0</v>
      </c>
      <c r="R136" s="5">
        <v>0</v>
      </c>
      <c r="S136" s="5">
        <v>0</v>
      </c>
      <c r="T136" s="5"/>
      <c r="U136" s="5">
        <v>869203.62</v>
      </c>
      <c r="V136" s="5">
        <v>0</v>
      </c>
      <c r="W136" s="5">
        <v>0</v>
      </c>
      <c r="X136" s="5">
        <v>0</v>
      </c>
      <c r="Y136" s="5">
        <v>0</v>
      </c>
    </row>
    <row r="137" spans="1:25" ht="12.75">
      <c r="A137" s="16">
        <f t="shared" si="29"/>
        <v>121</v>
      </c>
      <c r="B137" s="1" t="s">
        <v>312</v>
      </c>
      <c r="C137" s="5">
        <f t="shared" si="30"/>
        <v>64582.9</v>
      </c>
      <c r="D137" s="5">
        <f t="shared" si="31"/>
        <v>126620.38999999998</v>
      </c>
      <c r="E137" s="5"/>
      <c r="F137" s="5"/>
      <c r="G137" s="5">
        <f t="shared" si="32"/>
        <v>95602</v>
      </c>
      <c r="H137" s="5"/>
      <c r="I137" s="5">
        <f t="shared" si="33"/>
        <v>19422.555</v>
      </c>
      <c r="J137" s="5">
        <f t="shared" si="34"/>
        <v>21005.184999999998</v>
      </c>
      <c r="K137" s="5">
        <f t="shared" si="35"/>
        <v>7295.07</v>
      </c>
      <c r="L137" s="5">
        <f t="shared" si="36"/>
        <v>47878.835</v>
      </c>
      <c r="M137" s="5">
        <f t="shared" si="37"/>
        <v>0</v>
      </c>
      <c r="N137" s="5"/>
      <c r="O137" s="5">
        <v>12567.44</v>
      </c>
      <c r="P137" s="5">
        <v>13591.7</v>
      </c>
      <c r="Q137" s="5">
        <v>4720.47</v>
      </c>
      <c r="R137" s="5">
        <v>33703.29</v>
      </c>
      <c r="S137" s="5">
        <v>0</v>
      </c>
      <c r="T137" s="5"/>
      <c r="U137" s="5">
        <v>26277.67</v>
      </c>
      <c r="V137" s="5">
        <v>28418.67</v>
      </c>
      <c r="W137" s="5">
        <v>9869.67</v>
      </c>
      <c r="X137" s="5">
        <v>62054.38</v>
      </c>
      <c r="Y137" s="5">
        <v>0</v>
      </c>
    </row>
    <row r="138" spans="1:25" ht="12.75">
      <c r="A138" s="16">
        <f t="shared" si="29"/>
        <v>122</v>
      </c>
      <c r="B138" s="1" t="s">
        <v>313</v>
      </c>
      <c r="C138" s="5">
        <f t="shared" si="30"/>
        <v>-7714.95</v>
      </c>
      <c r="D138" s="5">
        <f t="shared" si="31"/>
        <v>-7714.95</v>
      </c>
      <c r="E138" s="5"/>
      <c r="F138" s="5"/>
      <c r="G138" s="5">
        <f t="shared" si="32"/>
        <v>-7715</v>
      </c>
      <c r="H138" s="5"/>
      <c r="I138" s="5">
        <f t="shared" si="33"/>
        <v>0</v>
      </c>
      <c r="J138" s="5">
        <f t="shared" si="34"/>
        <v>0.05</v>
      </c>
      <c r="K138" s="5">
        <f t="shared" si="35"/>
        <v>0</v>
      </c>
      <c r="L138" s="5">
        <f t="shared" si="36"/>
        <v>-7715</v>
      </c>
      <c r="M138" s="5">
        <f t="shared" si="37"/>
        <v>0</v>
      </c>
      <c r="N138" s="5"/>
      <c r="O138" s="5">
        <v>0</v>
      </c>
      <c r="P138" s="5">
        <v>0.05</v>
      </c>
      <c r="Q138" s="5">
        <v>0</v>
      </c>
      <c r="R138" s="5">
        <v>-7715</v>
      </c>
      <c r="S138" s="5">
        <v>0</v>
      </c>
      <c r="T138" s="5"/>
      <c r="U138" s="5">
        <v>0</v>
      </c>
      <c r="V138" s="5">
        <v>0.05</v>
      </c>
      <c r="W138" s="5">
        <v>0</v>
      </c>
      <c r="X138" s="5">
        <v>-7715</v>
      </c>
      <c r="Y138" s="5">
        <v>0</v>
      </c>
    </row>
    <row r="139" spans="1:25" ht="12.75">
      <c r="A139" s="16">
        <f t="shared" si="29"/>
        <v>123</v>
      </c>
      <c r="B139" s="3" t="s">
        <v>44</v>
      </c>
      <c r="C139" s="5">
        <f t="shared" si="30"/>
        <v>44122.340000000004</v>
      </c>
      <c r="D139" s="5">
        <f t="shared" si="31"/>
        <v>438538.12</v>
      </c>
      <c r="E139" s="5"/>
      <c r="F139" s="5"/>
      <c r="G139" s="5">
        <f t="shared" si="32"/>
        <v>241330</v>
      </c>
      <c r="H139" s="5"/>
      <c r="I139" s="5">
        <f t="shared" si="33"/>
        <v>66063.69499999999</v>
      </c>
      <c r="J139" s="5">
        <f t="shared" si="34"/>
        <v>195475.275</v>
      </c>
      <c r="K139" s="5">
        <f t="shared" si="35"/>
        <v>-20208.74</v>
      </c>
      <c r="L139" s="5">
        <f t="shared" si="36"/>
        <v>0</v>
      </c>
      <c r="M139" s="5">
        <f t="shared" si="37"/>
        <v>0</v>
      </c>
      <c r="N139" s="5"/>
      <c r="O139" s="5">
        <v>20553.44</v>
      </c>
      <c r="P139" s="5">
        <v>60856.33</v>
      </c>
      <c r="Q139" s="5">
        <v>-37287.43</v>
      </c>
      <c r="R139" s="5">
        <v>0</v>
      </c>
      <c r="S139" s="5">
        <v>0</v>
      </c>
      <c r="T139" s="5"/>
      <c r="U139" s="5">
        <v>111573.95</v>
      </c>
      <c r="V139" s="5">
        <v>330094.22</v>
      </c>
      <c r="W139" s="5">
        <v>-3130.05</v>
      </c>
      <c r="X139" s="5">
        <v>0</v>
      </c>
      <c r="Y139" s="5">
        <v>0</v>
      </c>
    </row>
    <row r="140" spans="1:25" ht="12.75">
      <c r="A140" s="16">
        <f t="shared" si="29"/>
        <v>124</v>
      </c>
      <c r="B140" s="3" t="s">
        <v>314</v>
      </c>
      <c r="C140" s="5">
        <f t="shared" si="30"/>
        <v>-7579835.5600000005</v>
      </c>
      <c r="D140" s="5">
        <f t="shared" si="31"/>
        <v>-5060055.71</v>
      </c>
      <c r="E140" s="5"/>
      <c r="F140" s="5"/>
      <c r="G140" s="5">
        <f t="shared" si="32"/>
        <v>-6319946</v>
      </c>
      <c r="H140" s="5"/>
      <c r="I140" s="5">
        <f t="shared" si="33"/>
        <v>-1343708.625</v>
      </c>
      <c r="J140" s="5">
        <f t="shared" si="34"/>
        <v>-2619967.7</v>
      </c>
      <c r="K140" s="5">
        <f t="shared" si="35"/>
        <v>-300229.7</v>
      </c>
      <c r="L140" s="5">
        <f t="shared" si="36"/>
        <v>-2056039.6099999999</v>
      </c>
      <c r="M140" s="5">
        <f t="shared" si="37"/>
        <v>0</v>
      </c>
      <c r="N140" s="5"/>
      <c r="O140" s="5">
        <v>-1611240.75</v>
      </c>
      <c r="P140" s="5">
        <v>-3221289.4</v>
      </c>
      <c r="Q140" s="5">
        <v>-300229.7</v>
      </c>
      <c r="R140" s="5">
        <v>-2447075.71</v>
      </c>
      <c r="S140" s="5">
        <v>0</v>
      </c>
      <c r="T140" s="5"/>
      <c r="U140" s="5">
        <v>-1076176.5</v>
      </c>
      <c r="V140" s="5">
        <v>-2018646</v>
      </c>
      <c r="W140" s="5">
        <v>-300229.7</v>
      </c>
      <c r="X140" s="5">
        <v>-1665003.51</v>
      </c>
      <c r="Y140" s="5">
        <v>0</v>
      </c>
    </row>
    <row r="141" spans="1:25" ht="12.75">
      <c r="A141" s="16">
        <f t="shared" si="29"/>
        <v>125</v>
      </c>
      <c r="B141" s="1" t="s">
        <v>315</v>
      </c>
      <c r="C141" s="5">
        <f t="shared" si="30"/>
        <v>-0.15000000000000002</v>
      </c>
      <c r="D141" s="5">
        <f t="shared" si="31"/>
        <v>0.04999999999999999</v>
      </c>
      <c r="E141" s="5"/>
      <c r="F141" s="5"/>
      <c r="G141" s="5">
        <f t="shared" si="32"/>
        <v>0</v>
      </c>
      <c r="H141" s="5"/>
      <c r="I141" s="5">
        <f t="shared" si="33"/>
        <v>-0.05</v>
      </c>
      <c r="J141" s="5">
        <f t="shared" si="34"/>
        <v>-0.1</v>
      </c>
      <c r="K141" s="5">
        <f t="shared" si="35"/>
        <v>0.1</v>
      </c>
      <c r="L141" s="5">
        <f t="shared" si="36"/>
        <v>0</v>
      </c>
      <c r="M141" s="5">
        <f t="shared" si="37"/>
        <v>0</v>
      </c>
      <c r="N141" s="5"/>
      <c r="O141" s="5">
        <v>-0.05</v>
      </c>
      <c r="P141" s="5">
        <v>-0.1</v>
      </c>
      <c r="Q141" s="5">
        <v>0.1</v>
      </c>
      <c r="R141" s="5">
        <v>-0.1</v>
      </c>
      <c r="S141" s="5">
        <v>0</v>
      </c>
      <c r="T141" s="5"/>
      <c r="U141" s="5">
        <v>-0.05</v>
      </c>
      <c r="V141" s="5">
        <v>-0.1</v>
      </c>
      <c r="W141" s="5">
        <v>0.1</v>
      </c>
      <c r="X141" s="5">
        <v>0.1</v>
      </c>
      <c r="Y141" s="5">
        <v>0</v>
      </c>
    </row>
    <row r="142" spans="1:25" ht="12.75">
      <c r="A142" s="16">
        <f t="shared" si="29"/>
        <v>126</v>
      </c>
      <c r="B142" s="1" t="s">
        <v>316</v>
      </c>
      <c r="C142" s="5">
        <f t="shared" si="30"/>
        <v>0.35</v>
      </c>
      <c r="D142" s="5">
        <f t="shared" si="31"/>
        <v>513573.22</v>
      </c>
      <c r="E142" s="5"/>
      <c r="F142" s="5"/>
      <c r="G142" s="5">
        <f t="shared" si="32"/>
        <v>256787</v>
      </c>
      <c r="H142" s="5"/>
      <c r="I142" s="5">
        <f t="shared" si="33"/>
        <v>-0.39</v>
      </c>
      <c r="J142" s="5">
        <f t="shared" si="34"/>
        <v>256786.575</v>
      </c>
      <c r="K142" s="5">
        <f t="shared" si="35"/>
        <v>0.6</v>
      </c>
      <c r="L142" s="5">
        <f t="shared" si="36"/>
        <v>0</v>
      </c>
      <c r="M142" s="5">
        <f t="shared" si="37"/>
        <v>0</v>
      </c>
      <c r="N142" s="5"/>
      <c r="O142" s="5">
        <v>-0.39</v>
      </c>
      <c r="P142" s="5">
        <v>0</v>
      </c>
      <c r="Q142" s="5">
        <v>0.6</v>
      </c>
      <c r="R142" s="5">
        <v>0.14</v>
      </c>
      <c r="S142" s="5">
        <v>0</v>
      </c>
      <c r="T142" s="5"/>
      <c r="U142" s="5">
        <v>-0.39</v>
      </c>
      <c r="V142" s="5">
        <v>513573.15</v>
      </c>
      <c r="W142" s="5">
        <v>0.6</v>
      </c>
      <c r="X142" s="5">
        <v>-0.14</v>
      </c>
      <c r="Y142" s="5">
        <v>0</v>
      </c>
    </row>
    <row r="143" spans="1:25" ht="12.75">
      <c r="A143" s="16">
        <f t="shared" si="29"/>
        <v>127</v>
      </c>
      <c r="B143" s="1" t="s">
        <v>45</v>
      </c>
      <c r="C143" s="5">
        <f t="shared" si="30"/>
        <v>2381581.29</v>
      </c>
      <c r="D143" s="5">
        <f t="shared" si="31"/>
        <v>2117586.41</v>
      </c>
      <c r="E143" s="5"/>
      <c r="F143" s="5"/>
      <c r="G143" s="5">
        <f t="shared" si="32"/>
        <v>2249584</v>
      </c>
      <c r="H143" s="5"/>
      <c r="I143" s="5">
        <f t="shared" si="33"/>
        <v>680352.69</v>
      </c>
      <c r="J143" s="5">
        <f t="shared" si="34"/>
        <v>684417.395</v>
      </c>
      <c r="K143" s="5">
        <f t="shared" si="35"/>
        <v>241552.35499999998</v>
      </c>
      <c r="L143" s="5">
        <f t="shared" si="36"/>
        <v>643261.4099999999</v>
      </c>
      <c r="M143" s="5">
        <f t="shared" si="37"/>
        <v>0</v>
      </c>
      <c r="N143" s="5"/>
      <c r="O143" s="5">
        <v>630348.98</v>
      </c>
      <c r="P143" s="5">
        <v>829201.75</v>
      </c>
      <c r="Q143" s="5">
        <v>245398.86</v>
      </c>
      <c r="R143" s="5">
        <v>676631.7</v>
      </c>
      <c r="S143" s="5">
        <v>0</v>
      </c>
      <c r="T143" s="5"/>
      <c r="U143" s="5">
        <v>730356.4</v>
      </c>
      <c r="V143" s="5">
        <v>539633.04</v>
      </c>
      <c r="W143" s="5">
        <v>237705.85</v>
      </c>
      <c r="X143" s="5">
        <v>609891.12</v>
      </c>
      <c r="Y143" s="5">
        <v>0</v>
      </c>
    </row>
    <row r="144" spans="1:25" ht="12.75">
      <c r="A144" s="16">
        <f t="shared" si="29"/>
        <v>128</v>
      </c>
      <c r="B144" s="3" t="s">
        <v>317</v>
      </c>
      <c r="C144" s="5">
        <f t="shared" si="30"/>
        <v>177550.8</v>
      </c>
      <c r="D144" s="5">
        <f t="shared" si="31"/>
        <v>177550.8</v>
      </c>
      <c r="E144" s="5"/>
      <c r="F144" s="5"/>
      <c r="G144" s="5">
        <f t="shared" si="32"/>
        <v>177551</v>
      </c>
      <c r="H144" s="5"/>
      <c r="I144" s="5">
        <f t="shared" si="33"/>
        <v>177550.8</v>
      </c>
      <c r="J144" s="5">
        <f t="shared" si="34"/>
        <v>0</v>
      </c>
      <c r="K144" s="5">
        <f t="shared" si="35"/>
        <v>0</v>
      </c>
      <c r="L144" s="5">
        <f t="shared" si="36"/>
        <v>0</v>
      </c>
      <c r="M144" s="5">
        <f t="shared" si="37"/>
        <v>0</v>
      </c>
      <c r="N144" s="5"/>
      <c r="O144" s="5">
        <v>177550.8</v>
      </c>
      <c r="P144" s="5">
        <v>0</v>
      </c>
      <c r="Q144" s="5">
        <v>0</v>
      </c>
      <c r="R144" s="5">
        <v>0</v>
      </c>
      <c r="S144" s="5">
        <v>0</v>
      </c>
      <c r="T144" s="5"/>
      <c r="U144" s="5">
        <v>177550.8</v>
      </c>
      <c r="V144" s="5">
        <v>0</v>
      </c>
      <c r="W144" s="5">
        <v>0</v>
      </c>
      <c r="X144" s="5">
        <v>0</v>
      </c>
      <c r="Y144" s="5">
        <v>0</v>
      </c>
    </row>
    <row r="145" spans="1:25" ht="12.75">
      <c r="A145" s="16">
        <f t="shared" si="29"/>
        <v>129</v>
      </c>
      <c r="B145" s="1" t="s">
        <v>25</v>
      </c>
      <c r="C145" s="5">
        <v>3207238.15</v>
      </c>
      <c r="D145" s="5">
        <v>3005886.41</v>
      </c>
      <c r="E145" s="5">
        <f aca="true" t="shared" si="38" ref="E145:F149">-C145</f>
        <v>-3207238.15</v>
      </c>
      <c r="F145" s="5">
        <f t="shared" si="38"/>
        <v>-3005886.41</v>
      </c>
      <c r="G145" s="5">
        <f t="shared" si="32"/>
        <v>0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>
      <c r="A146" s="16">
        <f aca="true" t="shared" si="39" ref="A146:A172">A145+1</f>
        <v>130</v>
      </c>
      <c r="B146" s="1" t="s">
        <v>46</v>
      </c>
      <c r="C146" s="5">
        <v>77472861</v>
      </c>
      <c r="D146" s="5">
        <v>68250858.22</v>
      </c>
      <c r="E146" s="5">
        <f t="shared" si="38"/>
        <v>-77472861</v>
      </c>
      <c r="F146" s="5">
        <f t="shared" si="38"/>
        <v>-68250858.22</v>
      </c>
      <c r="G146" s="5">
        <f t="shared" si="32"/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>
      <c r="A147" s="16">
        <f t="shared" si="39"/>
        <v>131</v>
      </c>
      <c r="B147" s="1" t="s">
        <v>47</v>
      </c>
      <c r="C147" s="5">
        <v>310</v>
      </c>
      <c r="D147" s="5">
        <v>310</v>
      </c>
      <c r="E147" s="5">
        <f t="shared" si="38"/>
        <v>-310</v>
      </c>
      <c r="F147" s="5">
        <f t="shared" si="38"/>
        <v>-310</v>
      </c>
      <c r="G147" s="5">
        <f t="shared" si="32"/>
        <v>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>
      <c r="A148" s="16">
        <f t="shared" si="39"/>
        <v>132</v>
      </c>
      <c r="B148" s="1" t="s">
        <v>48</v>
      </c>
      <c r="C148" s="5">
        <v>96794</v>
      </c>
      <c r="D148" s="5">
        <v>62065.66</v>
      </c>
      <c r="E148" s="5">
        <f t="shared" si="38"/>
        <v>-96794</v>
      </c>
      <c r="F148" s="5">
        <f t="shared" si="38"/>
        <v>-62065.66</v>
      </c>
      <c r="G148" s="5">
        <f t="shared" si="32"/>
        <v>0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>
      <c r="A149" s="16">
        <f t="shared" si="39"/>
        <v>133</v>
      </c>
      <c r="B149" s="3" t="s">
        <v>318</v>
      </c>
      <c r="C149" s="5">
        <v>525810</v>
      </c>
      <c r="D149" s="5">
        <v>660059.9400000001</v>
      </c>
      <c r="E149" s="5">
        <f t="shared" si="38"/>
        <v>-525810</v>
      </c>
      <c r="F149" s="5">
        <f t="shared" si="38"/>
        <v>-660059.9400000001</v>
      </c>
      <c r="G149" s="5">
        <f t="shared" si="32"/>
        <v>0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.75">
      <c r="A150" s="16">
        <f t="shared" si="39"/>
        <v>134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3.5" thickBot="1">
      <c r="A151" s="16">
        <f t="shared" si="39"/>
        <v>135</v>
      </c>
      <c r="B151" s="1"/>
      <c r="C151" s="17">
        <f>SUM(C89:C150)</f>
        <v>737870746.17</v>
      </c>
      <c r="D151" s="17">
        <f>SUM(D89:D150)</f>
        <v>670573920.81</v>
      </c>
      <c r="E151" s="17">
        <f>SUM(E89:E150)</f>
        <v>-81303013.15</v>
      </c>
      <c r="F151" s="17">
        <f>SUM(F89:F150)</f>
        <v>-71979180.22999999</v>
      </c>
      <c r="G151" s="17">
        <f>SUM(G89:G150)</f>
        <v>627581237</v>
      </c>
      <c r="H151" s="17"/>
      <c r="I151" s="17">
        <f>SUM(I89:I150)</f>
        <v>65612379.919999994</v>
      </c>
      <c r="J151" s="17">
        <f>SUM(J89:J150)</f>
        <v>506674707.75999993</v>
      </c>
      <c r="K151" s="17">
        <f>SUM(K89:K150)</f>
        <v>10627365.515</v>
      </c>
      <c r="L151" s="17">
        <f>SUM(L89:L150)</f>
        <v>44666783.605</v>
      </c>
      <c r="M151" s="17">
        <f>SUM(M89:M150)</f>
        <v>0</v>
      </c>
      <c r="N151" s="17"/>
      <c r="O151" s="17">
        <f>SUM(O89:O150)</f>
        <v>65793870.62999999</v>
      </c>
      <c r="P151" s="17">
        <f>SUM(P89:P150)</f>
        <v>532420681.88</v>
      </c>
      <c r="Q151" s="17">
        <f>SUM(Q89:Q150)</f>
        <v>10789533.060000002</v>
      </c>
      <c r="R151" s="17">
        <f>SUM(R89:R150)</f>
        <v>47563647.449999996</v>
      </c>
      <c r="S151" s="17">
        <f>SUM(S89:S150)</f>
        <v>0</v>
      </c>
      <c r="T151" s="5"/>
      <c r="U151" s="17">
        <f>SUM(U89:U150)</f>
        <v>65430889.21</v>
      </c>
      <c r="V151" s="17">
        <f>SUM(V89:V150)</f>
        <v>480928733.64000005</v>
      </c>
      <c r="W151" s="17">
        <f>SUM(W89:W150)</f>
        <v>10465197.97</v>
      </c>
      <c r="X151" s="17">
        <f>SUM(X89:X150)</f>
        <v>41769919.76</v>
      </c>
      <c r="Y151" s="17">
        <f>SUM(Y89:Y150)</f>
        <v>0</v>
      </c>
    </row>
    <row r="152" spans="1:25" ht="13.5" thickTop="1">
      <c r="A152" s="16">
        <f t="shared" si="39"/>
        <v>136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5"/>
      <c r="U152" s="18"/>
      <c r="V152" s="18"/>
      <c r="W152" s="18"/>
      <c r="X152" s="18"/>
      <c r="Y152" s="18"/>
    </row>
    <row r="153" spans="1:25" ht="12.75">
      <c r="A153" s="16">
        <f t="shared" si="39"/>
        <v>137</v>
      </c>
      <c r="C153" s="5"/>
      <c r="D153" s="5" t="s">
        <v>24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.75">
      <c r="A154" s="16">
        <f t="shared" si="39"/>
        <v>138</v>
      </c>
      <c r="B154" s="3" t="s">
        <v>105</v>
      </c>
      <c r="C154" s="5">
        <f>SUM(O154:S154)</f>
        <v>0</v>
      </c>
      <c r="D154" s="5">
        <f>SUM(U154:Y154)</f>
        <v>0</v>
      </c>
      <c r="E154" s="5"/>
      <c r="F154" s="5"/>
      <c r="G154" s="5">
        <f>ROUND(SUM(C154:F154)/2,0)</f>
        <v>0</v>
      </c>
      <c r="H154" s="5"/>
      <c r="I154" s="5">
        <f>(+O154+U154)/2</f>
        <v>0</v>
      </c>
      <c r="J154" s="5">
        <f>(+P154+V154)/2</f>
        <v>0</v>
      </c>
      <c r="K154" s="5">
        <f>(+Q154+W154)/2</f>
        <v>0</v>
      </c>
      <c r="L154" s="5">
        <f>(+R154+X154)/2</f>
        <v>0</v>
      </c>
      <c r="M154" s="5">
        <f>(+S154+Y154)/2</f>
        <v>0</v>
      </c>
      <c r="N154" s="5"/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/>
      <c r="U154" s="5">
        <v>0</v>
      </c>
      <c r="V154" s="5">
        <v>0</v>
      </c>
      <c r="W154" s="5">
        <v>0</v>
      </c>
      <c r="X154" s="5">
        <v>0</v>
      </c>
      <c r="Y154" s="5">
        <v>0</v>
      </c>
    </row>
    <row r="155" spans="1:25" ht="12.75">
      <c r="A155" s="16">
        <f t="shared" si="39"/>
        <v>139</v>
      </c>
      <c r="B155" s="1" t="s">
        <v>50</v>
      </c>
      <c r="C155" s="5">
        <v>107174558</v>
      </c>
      <c r="D155" s="5">
        <v>79647975</v>
      </c>
      <c r="E155" s="5">
        <f>-C155</f>
        <v>-107174558</v>
      </c>
      <c r="F155" s="5">
        <f>-D155</f>
        <v>-79647975</v>
      </c>
      <c r="G155" s="5">
        <f>ROUND(SUM(C155:F155)/2,0)</f>
        <v>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6" ht="12.75">
      <c r="A156" s="16">
        <f t="shared" si="39"/>
        <v>140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5" thickBot="1">
      <c r="A157" s="16">
        <f t="shared" si="39"/>
        <v>141</v>
      </c>
      <c r="B157" s="1" t="s">
        <v>49</v>
      </c>
      <c r="C157" s="17">
        <f>SUM(C151:C156)</f>
        <v>845045304.17</v>
      </c>
      <c r="D157" s="17">
        <f>SUM(D151:D156)</f>
        <v>750221895.81</v>
      </c>
      <c r="E157" s="17">
        <f>SUM(E151:E156)</f>
        <v>-188477571.15</v>
      </c>
      <c r="F157" s="17">
        <f>SUM(F151:F156)</f>
        <v>-151627155.23</v>
      </c>
      <c r="G157" s="17">
        <f>SUM(G151:G156)</f>
        <v>627581237</v>
      </c>
      <c r="H157" s="17"/>
      <c r="I157" s="17">
        <f>SUM(I151:I156)</f>
        <v>65612379.919999994</v>
      </c>
      <c r="J157" s="17">
        <f>SUM(J151:J156)</f>
        <v>506674707.75999993</v>
      </c>
      <c r="K157" s="17">
        <f>SUM(K151:K156)</f>
        <v>10627365.515</v>
      </c>
      <c r="L157" s="17">
        <f>SUM(L151:L156)</f>
        <v>44666783.605</v>
      </c>
      <c r="M157" s="17">
        <f>SUM(M151:M156)</f>
        <v>0</v>
      </c>
      <c r="N157" s="17"/>
      <c r="O157" s="17">
        <f>SUM(O151:O156)</f>
        <v>65793870.62999999</v>
      </c>
      <c r="P157" s="17">
        <f>SUM(P151:P156)</f>
        <v>532420681.88</v>
      </c>
      <c r="Q157" s="17">
        <f>SUM(Q151:Q156)</f>
        <v>10789533.060000002</v>
      </c>
      <c r="R157" s="17">
        <f>SUM(R151:R156)</f>
        <v>47563647.449999996</v>
      </c>
      <c r="S157" s="17">
        <f>SUM(S151:S156)</f>
        <v>0</v>
      </c>
      <c r="T157" s="5"/>
      <c r="U157" s="17">
        <f>SUM(U151:U156)</f>
        <v>65430889.21</v>
      </c>
      <c r="V157" s="17">
        <f>SUM(V151:V156)</f>
        <v>480928733.64000005</v>
      </c>
      <c r="W157" s="17">
        <f>SUM(W151:W156)</f>
        <v>10465197.97</v>
      </c>
      <c r="X157" s="17">
        <f>SUM(X151:X156)</f>
        <v>41769919.76</v>
      </c>
      <c r="Y157" s="17">
        <f>SUM(Y151:Y156)</f>
        <v>0</v>
      </c>
      <c r="Z157" s="5"/>
    </row>
    <row r="158" spans="1:26" ht="13.5" thickTop="1">
      <c r="A158" s="16">
        <f t="shared" si="39"/>
        <v>142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5"/>
      <c r="U158" s="18"/>
      <c r="V158" s="18"/>
      <c r="W158" s="18"/>
      <c r="X158" s="18"/>
      <c r="Y158" s="18"/>
      <c r="Z158" s="5"/>
    </row>
    <row r="159" spans="1:25" ht="12.75">
      <c r="A159" s="16">
        <f t="shared" si="39"/>
        <v>143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.75">
      <c r="A160" s="16">
        <f t="shared" si="39"/>
        <v>144</v>
      </c>
      <c r="B160" s="1" t="s">
        <v>51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.75">
      <c r="A161" s="16">
        <f t="shared" si="39"/>
        <v>145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.75">
      <c r="A162" s="16">
        <f t="shared" si="39"/>
        <v>146</v>
      </c>
      <c r="B162" s="1" t="s">
        <v>52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.75">
      <c r="A163" s="16">
        <f t="shared" si="39"/>
        <v>147</v>
      </c>
      <c r="C163" s="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.75">
      <c r="A164" s="16">
        <f t="shared" si="39"/>
        <v>148</v>
      </c>
      <c r="B164" s="1" t="s">
        <v>53</v>
      </c>
      <c r="C164" s="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.75">
      <c r="A165" s="16">
        <f t="shared" si="39"/>
        <v>149</v>
      </c>
      <c r="B165" s="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.75">
      <c r="A166" s="16">
        <f t="shared" si="39"/>
        <v>150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.75">
      <c r="A167" s="16">
        <f t="shared" si="39"/>
        <v>151</v>
      </c>
      <c r="B167" s="3" t="s">
        <v>54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.75">
      <c r="A168" s="16">
        <f t="shared" si="39"/>
        <v>152</v>
      </c>
      <c r="B168" s="3" t="s">
        <v>55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.75">
      <c r="A169" s="16">
        <f t="shared" si="39"/>
        <v>153</v>
      </c>
      <c r="B169" s="1" t="s">
        <v>319</v>
      </c>
      <c r="C169" s="5">
        <f>SUM(O169:S169)</f>
        <v>0</v>
      </c>
      <c r="D169" s="5">
        <f>SUM(U169:Y169)</f>
        <v>0</v>
      </c>
      <c r="E169" s="5"/>
      <c r="F169" s="5"/>
      <c r="G169" s="5">
        <f>ROUND(SUM(C169:F169)/2,0)</f>
        <v>0</v>
      </c>
      <c r="H169" s="5"/>
      <c r="I169" s="5">
        <f>(+O169+U169)/2</f>
        <v>0</v>
      </c>
      <c r="J169" s="5">
        <f>(+P169+V169)/2</f>
        <v>0</v>
      </c>
      <c r="K169" s="5">
        <f>(+Q169+W169)/2</f>
        <v>0</v>
      </c>
      <c r="L169" s="5">
        <f>(+R169+X169)/2</f>
        <v>0</v>
      </c>
      <c r="M169" s="5">
        <f>(+S169+Y169)/2</f>
        <v>0</v>
      </c>
      <c r="N169" s="5"/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/>
      <c r="U169" s="5">
        <v>0</v>
      </c>
      <c r="V169" s="5">
        <v>0</v>
      </c>
      <c r="W169" s="5">
        <v>0</v>
      </c>
      <c r="X169" s="5">
        <v>0</v>
      </c>
      <c r="Y169" s="5">
        <v>0</v>
      </c>
    </row>
    <row r="170" spans="1:25" ht="12.75">
      <c r="A170" s="16">
        <f t="shared" si="39"/>
        <v>154</v>
      </c>
      <c r="B170" s="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.75">
      <c r="A171" s="16">
        <f t="shared" si="39"/>
        <v>155</v>
      </c>
      <c r="B171" s="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3.5" thickBot="1">
      <c r="A172" s="16">
        <f t="shared" si="39"/>
        <v>156</v>
      </c>
      <c r="B172" s="3" t="s">
        <v>56</v>
      </c>
      <c r="C172" s="17">
        <f>SUM(C169:C171)</f>
        <v>0</v>
      </c>
      <c r="D172" s="17">
        <f>SUM(D169:D171)</f>
        <v>0</v>
      </c>
      <c r="E172" s="17">
        <f>SUM(E169:E171)</f>
        <v>0</v>
      </c>
      <c r="F172" s="17">
        <f>SUM(F169:F171)</f>
        <v>0</v>
      </c>
      <c r="G172" s="17">
        <f>SUM(G169:G171)</f>
        <v>0</v>
      </c>
      <c r="H172" s="17"/>
      <c r="I172" s="17">
        <f>SUM(I169:I171)</f>
        <v>0</v>
      </c>
      <c r="J172" s="17">
        <f>SUM(J169:J171)</f>
        <v>0</v>
      </c>
      <c r="K172" s="17">
        <f>SUM(K169:K171)</f>
        <v>0</v>
      </c>
      <c r="L172" s="17">
        <f>SUM(L169:L171)</f>
        <v>0</v>
      </c>
      <c r="M172" s="17">
        <f>SUM(M169:M171)</f>
        <v>0</v>
      </c>
      <c r="N172" s="17"/>
      <c r="O172" s="17">
        <f>SUM(O169:O171)</f>
        <v>0</v>
      </c>
      <c r="P172" s="17">
        <f>SUM(P169:P171)</f>
        <v>0</v>
      </c>
      <c r="Q172" s="17">
        <f>SUM(Q169:Q171)</f>
        <v>0</v>
      </c>
      <c r="R172" s="17">
        <f>SUM(R169:R171)</f>
        <v>0</v>
      </c>
      <c r="S172" s="17">
        <f>SUM(S169:S171)</f>
        <v>0</v>
      </c>
      <c r="T172" s="5"/>
      <c r="U172" s="17">
        <f>SUM(U169:U171)</f>
        <v>0</v>
      </c>
      <c r="V172" s="17">
        <f>SUM(V169:V171)</f>
        <v>0</v>
      </c>
      <c r="W172" s="17">
        <f>SUM(W169:W171)</f>
        <v>0</v>
      </c>
      <c r="X172" s="17">
        <f>SUM(X169:X171)</f>
        <v>0</v>
      </c>
      <c r="Y172" s="17">
        <f>SUM(Y169:Y171)</f>
        <v>0</v>
      </c>
    </row>
    <row r="173" spans="3:25" ht="13.5" thickTop="1">
      <c r="C173" s="18"/>
      <c r="D173" s="18"/>
      <c r="E173" s="18"/>
      <c r="F173" s="18"/>
      <c r="G173" s="18"/>
      <c r="I173" s="18"/>
      <c r="J173" s="18"/>
      <c r="K173" s="18"/>
      <c r="L173" s="18"/>
      <c r="M173" s="18"/>
      <c r="O173" s="18"/>
      <c r="P173" s="18"/>
      <c r="Q173" s="18"/>
      <c r="R173" s="18"/>
      <c r="S173" s="18"/>
      <c r="U173" s="18"/>
      <c r="V173" s="18"/>
      <c r="W173" s="18"/>
      <c r="X173" s="18"/>
      <c r="Y173" s="18"/>
    </row>
  </sheetData>
  <sheetProtection/>
  <printOptions/>
  <pageMargins left="0.75" right="0.25" top="0.5" bottom="0.25" header="0" footer="0"/>
  <pageSetup horizontalDpi="600" verticalDpi="600" orientation="portrait" scale="65" r:id="rId1"/>
  <headerFooter alignWithMargins="0">
    <oddHeader>&amp;RSTATEMENT AF
Page &amp;P of &amp;N</oddHeader>
  </headerFooter>
  <rowBreaks count="1" manualBreakCount="1">
    <brk id="86" min="2" max="24" man="1"/>
  </rowBreaks>
  <colBreaks count="3" manualBreakCount="3">
    <brk id="7" min="14" max="161" man="1"/>
    <brk id="13" min="14" max="161" man="1"/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6"/>
  <sheetViews>
    <sheetView showOutlineSymbols="0" zoomScale="85" zoomScaleNormal="85" workbookViewId="0" topLeftCell="A1">
      <selection activeCell="A1" sqref="A1"/>
    </sheetView>
  </sheetViews>
  <sheetFormatPr defaultColWidth="12.7109375" defaultRowHeight="12.75"/>
  <cols>
    <col min="1" max="1" width="5.00390625" style="38" customWidth="1"/>
    <col min="2" max="2" width="53.00390625" style="39" customWidth="1"/>
    <col min="3" max="3" width="17.140625" style="39" customWidth="1"/>
    <col min="4" max="4" width="14.7109375" style="39" customWidth="1"/>
    <col min="5" max="5" width="16.8515625" style="39" customWidth="1"/>
    <col min="6" max="7" width="14.7109375" style="39" customWidth="1"/>
    <col min="8" max="8" width="2.7109375" style="39" customWidth="1"/>
    <col min="9" max="13" width="14.7109375" style="39" customWidth="1"/>
    <col min="14" max="14" width="2.7109375" style="39" customWidth="1"/>
    <col min="15" max="19" width="14.7109375" style="39" customWidth="1"/>
    <col min="20" max="20" width="2.7109375" style="39" hidden="1" customWidth="1"/>
    <col min="21" max="25" width="14.7109375" style="39" hidden="1" customWidth="1"/>
    <col min="26" max="16384" width="12.7109375" style="39" customWidth="1"/>
  </cols>
  <sheetData>
    <row r="1" spans="2:25" ht="12.75">
      <c r="B1" s="20" t="s">
        <v>223</v>
      </c>
      <c r="G1" s="40"/>
      <c r="H1" s="41"/>
      <c r="I1" s="41"/>
      <c r="J1" s="41"/>
      <c r="K1" s="41"/>
      <c r="L1" s="41"/>
      <c r="M1" s="40"/>
      <c r="N1" s="41"/>
      <c r="S1" s="40"/>
      <c r="Y1" s="40"/>
    </row>
    <row r="2" spans="2:25" ht="12.75">
      <c r="B2" s="20" t="s">
        <v>140</v>
      </c>
      <c r="G2" s="40"/>
      <c r="H2" s="41"/>
      <c r="I2" s="41"/>
      <c r="J2" s="41"/>
      <c r="K2" s="41"/>
      <c r="L2" s="41"/>
      <c r="M2" s="40"/>
      <c r="N2" s="41"/>
      <c r="S2" s="40"/>
      <c r="Y2" s="40"/>
    </row>
    <row r="3" ht="12.75">
      <c r="B3" s="20" t="s">
        <v>127</v>
      </c>
    </row>
    <row r="4" spans="2:25" ht="12.75">
      <c r="B4" s="42"/>
      <c r="G4" s="40" t="s">
        <v>141</v>
      </c>
      <c r="M4" s="40"/>
      <c r="S4" s="40"/>
      <c r="Y4" s="40"/>
    </row>
    <row r="5" ht="12.75">
      <c r="B5" s="38"/>
    </row>
    <row r="6" spans="8:14" ht="12.75">
      <c r="H6" s="43"/>
      <c r="I6" s="43"/>
      <c r="J6" s="43"/>
      <c r="K6" s="43"/>
      <c r="L6" s="43"/>
      <c r="M6" s="43"/>
      <c r="N6" s="43"/>
    </row>
    <row r="8" spans="2:25" ht="12.75">
      <c r="B8" s="44" t="s">
        <v>2</v>
      </c>
      <c r="C8" s="44" t="s">
        <v>3</v>
      </c>
      <c r="D8" s="44" t="s">
        <v>4</v>
      </c>
      <c r="E8" s="44" t="s">
        <v>5</v>
      </c>
      <c r="F8" s="44" t="s">
        <v>6</v>
      </c>
      <c r="G8" s="44" t="s">
        <v>7</v>
      </c>
      <c r="H8" s="44"/>
      <c r="I8" s="44" t="s">
        <v>8</v>
      </c>
      <c r="J8" s="44" t="s">
        <v>9</v>
      </c>
      <c r="K8" s="44" t="s">
        <v>10</v>
      </c>
      <c r="L8" s="44" t="s">
        <v>11</v>
      </c>
      <c r="M8" s="44" t="s">
        <v>60</v>
      </c>
      <c r="N8" s="44"/>
      <c r="O8" s="44" t="s">
        <v>61</v>
      </c>
      <c r="P8" s="44" t="s">
        <v>62</v>
      </c>
      <c r="Q8" s="44" t="s">
        <v>63</v>
      </c>
      <c r="R8" s="44" t="s">
        <v>64</v>
      </c>
      <c r="S8" s="44" t="s">
        <v>224</v>
      </c>
      <c r="U8" s="44" t="s">
        <v>225</v>
      </c>
      <c r="V8" s="44" t="s">
        <v>226</v>
      </c>
      <c r="W8" s="44" t="s">
        <v>227</v>
      </c>
      <c r="X8" s="44" t="s">
        <v>228</v>
      </c>
      <c r="Y8" s="44" t="s">
        <v>229</v>
      </c>
    </row>
    <row r="10" spans="3:25" ht="12.75">
      <c r="C10" s="45" t="s">
        <v>12</v>
      </c>
      <c r="D10" s="45"/>
      <c r="E10" s="46" t="s">
        <v>13</v>
      </c>
      <c r="F10" s="45"/>
      <c r="G10" s="43" t="s">
        <v>14</v>
      </c>
      <c r="H10" s="43"/>
      <c r="I10" s="45" t="s">
        <v>66</v>
      </c>
      <c r="J10" s="45"/>
      <c r="K10" s="45"/>
      <c r="L10" s="45"/>
      <c r="M10" s="45"/>
      <c r="N10" s="43"/>
      <c r="O10" s="45" t="s">
        <v>129</v>
      </c>
      <c r="P10" s="45"/>
      <c r="Q10" s="45"/>
      <c r="R10" s="45"/>
      <c r="S10" s="45"/>
      <c r="U10" s="45" t="s">
        <v>123</v>
      </c>
      <c r="V10" s="45"/>
      <c r="W10" s="45"/>
      <c r="X10" s="45"/>
      <c r="Y10" s="45"/>
    </row>
    <row r="11" spans="3:25" ht="12.75">
      <c r="C11" s="47"/>
      <c r="D11" s="47"/>
      <c r="G11" s="43" t="s">
        <v>15</v>
      </c>
      <c r="H11" s="43"/>
      <c r="I11" s="47"/>
      <c r="J11" s="47"/>
      <c r="K11" s="47"/>
      <c r="L11" s="47"/>
      <c r="M11" s="47"/>
      <c r="N11" s="43"/>
      <c r="O11" s="47"/>
      <c r="P11" s="47"/>
      <c r="Q11" s="47"/>
      <c r="R11" s="47"/>
      <c r="S11" s="47"/>
      <c r="U11" s="47"/>
      <c r="V11" s="47"/>
      <c r="W11" s="47"/>
      <c r="X11" s="47"/>
      <c r="Y11" s="47"/>
    </row>
    <row r="12" spans="3:14" ht="12.75">
      <c r="C12" s="43" t="s">
        <v>16</v>
      </c>
      <c r="D12" s="43" t="s">
        <v>16</v>
      </c>
      <c r="E12" s="43" t="s">
        <v>16</v>
      </c>
      <c r="F12" s="43" t="s">
        <v>16</v>
      </c>
      <c r="G12" s="43" t="s">
        <v>17</v>
      </c>
      <c r="H12" s="43"/>
      <c r="N12" s="43"/>
    </row>
    <row r="13" spans="2:25" ht="12.75">
      <c r="B13" s="44" t="s">
        <v>18</v>
      </c>
      <c r="C13" s="44" t="s">
        <v>128</v>
      </c>
      <c r="D13" s="44" t="s">
        <v>122</v>
      </c>
      <c r="E13" s="44" t="str">
        <f>+C13</f>
        <v>OF 12-31-11</v>
      </c>
      <c r="F13" s="44" t="str">
        <f>+D13</f>
        <v>OF 12-31-10</v>
      </c>
      <c r="G13" s="44" t="s">
        <v>19</v>
      </c>
      <c r="H13" s="44"/>
      <c r="I13" s="44" t="s">
        <v>20</v>
      </c>
      <c r="J13" s="44" t="s">
        <v>230</v>
      </c>
      <c r="K13" s="44" t="s">
        <v>21</v>
      </c>
      <c r="L13" s="44" t="s">
        <v>22</v>
      </c>
      <c r="M13" s="44" t="s">
        <v>231</v>
      </c>
      <c r="N13" s="44"/>
      <c r="O13" s="44" t="s">
        <v>20</v>
      </c>
      <c r="P13" s="44" t="s">
        <v>230</v>
      </c>
      <c r="Q13" s="44" t="s">
        <v>21</v>
      </c>
      <c r="R13" s="44" t="s">
        <v>22</v>
      </c>
      <c r="S13" s="44" t="s">
        <v>231</v>
      </c>
      <c r="U13" s="44" t="s">
        <v>20</v>
      </c>
      <c r="V13" s="44" t="s">
        <v>230</v>
      </c>
      <c r="W13" s="44" t="s">
        <v>21</v>
      </c>
      <c r="X13" s="44" t="s">
        <v>22</v>
      </c>
      <c r="Y13" s="44" t="s">
        <v>231</v>
      </c>
    </row>
    <row r="15" spans="1:26" ht="12.75">
      <c r="A15" s="48"/>
      <c r="B15" s="49" t="s">
        <v>142</v>
      </c>
      <c r="C15" s="49"/>
      <c r="D15" s="49"/>
      <c r="E15" s="49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2.7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2.75">
      <c r="A17" s="51">
        <v>1</v>
      </c>
      <c r="B17" s="49" t="s">
        <v>320</v>
      </c>
      <c r="C17" s="49">
        <f aca="true" t="shared" si="0" ref="C17:C48">SUM(O17:S17)</f>
        <v>16632881.200000001</v>
      </c>
      <c r="D17" s="49">
        <f aca="true" t="shared" si="1" ref="D17:D48">SUM(U17:Y17)</f>
        <v>0</v>
      </c>
      <c r="E17" s="49"/>
      <c r="F17" s="49"/>
      <c r="G17" s="49">
        <f aca="true" t="shared" si="2" ref="G17:G48">ROUND(SUM(C17:F17)/2,0)</f>
        <v>8316441</v>
      </c>
      <c r="H17" s="49"/>
      <c r="I17" s="49">
        <f aca="true" t="shared" si="3" ref="I17:I48">(+O17+U17)/2</f>
        <v>400468.41</v>
      </c>
      <c r="J17" s="49">
        <f aca="true" t="shared" si="4" ref="J17:J48">(+P17+V17)/2</f>
        <v>6592881.335</v>
      </c>
      <c r="K17" s="49">
        <f aca="true" t="shared" si="5" ref="K17:K48">(+Q17+W17)/2</f>
        <v>110681.95</v>
      </c>
      <c r="L17" s="49">
        <f aca="true" t="shared" si="6" ref="L17:L48">(+R17+X17)/2</f>
        <v>1212408.905</v>
      </c>
      <c r="M17" s="49">
        <f aca="true" t="shared" si="7" ref="M17:M48">(+S17+Y17)/2</f>
        <v>0</v>
      </c>
      <c r="N17" s="49"/>
      <c r="O17" s="49">
        <v>800936.82</v>
      </c>
      <c r="P17" s="49">
        <f>2027762.67+11158000</f>
        <v>13185762.67</v>
      </c>
      <c r="Q17" s="49">
        <v>221363.9</v>
      </c>
      <c r="R17" s="49">
        <f>812817.81+1612000</f>
        <v>2424817.81</v>
      </c>
      <c r="S17" s="49"/>
      <c r="T17" s="49"/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/>
    </row>
    <row r="18" spans="1:26" ht="12.75">
      <c r="A18" s="51">
        <f aca="true" t="shared" si="8" ref="A18:A49">A17+1</f>
        <v>2</v>
      </c>
      <c r="B18" s="49" t="s">
        <v>144</v>
      </c>
      <c r="C18" s="49">
        <f t="shared" si="0"/>
        <v>26289331.72</v>
      </c>
      <c r="D18" s="49">
        <f t="shared" si="1"/>
        <v>25207816.270000003</v>
      </c>
      <c r="E18" s="49"/>
      <c r="F18" s="49"/>
      <c r="G18" s="49">
        <f t="shared" si="2"/>
        <v>25748574</v>
      </c>
      <c r="H18" s="49"/>
      <c r="I18" s="49">
        <f t="shared" si="3"/>
        <v>6308080.07</v>
      </c>
      <c r="J18" s="49">
        <f t="shared" si="4"/>
        <v>8347267.4799999995</v>
      </c>
      <c r="K18" s="49">
        <f t="shared" si="5"/>
        <v>5351793.365</v>
      </c>
      <c r="L18" s="49">
        <f t="shared" si="6"/>
        <v>5741433.08</v>
      </c>
      <c r="M18" s="49">
        <f t="shared" si="7"/>
        <v>0</v>
      </c>
      <c r="N18" s="49"/>
      <c r="O18" s="49">
        <f>9027532.49-2627480</f>
        <v>6400052.49</v>
      </c>
      <c r="P18" s="49">
        <f>10272068.28-1562640</f>
        <v>8709428.28</v>
      </c>
      <c r="Q18" s="49">
        <f>9104224.25-3701643</f>
        <v>5402581.25</v>
      </c>
      <c r="R18" s="49">
        <f>9838875.7-4061606</f>
        <v>5777269.699999999</v>
      </c>
      <c r="S18" s="49"/>
      <c r="T18" s="49"/>
      <c r="U18" s="49">
        <f>8553928.65-2337821</f>
        <v>6216107.65</v>
      </c>
      <c r="V18" s="49">
        <f>9237799.68-1252693</f>
        <v>7985106.68</v>
      </c>
      <c r="W18" s="49">
        <f>8705796.48-3404791</f>
        <v>5301005.48</v>
      </c>
      <c r="X18" s="49">
        <f>9446099.46-3740503</f>
        <v>5705596.460000001</v>
      </c>
      <c r="Y18" s="49">
        <v>0</v>
      </c>
      <c r="Z18" s="49"/>
    </row>
    <row r="19" spans="1:26" ht="12.75">
      <c r="A19" s="51">
        <f t="shared" si="8"/>
        <v>3</v>
      </c>
      <c r="B19" s="49" t="s">
        <v>321</v>
      </c>
      <c r="C19" s="49">
        <f t="shared" si="0"/>
        <v>182537</v>
      </c>
      <c r="D19" s="49">
        <f t="shared" si="1"/>
        <v>273805</v>
      </c>
      <c r="E19" s="49"/>
      <c r="F19" s="49"/>
      <c r="G19" s="49">
        <f t="shared" si="2"/>
        <v>228171</v>
      </c>
      <c r="H19" s="49"/>
      <c r="I19" s="49">
        <f t="shared" si="3"/>
        <v>0</v>
      </c>
      <c r="J19" s="49">
        <f t="shared" si="4"/>
        <v>228171</v>
      </c>
      <c r="K19" s="49">
        <f t="shared" si="5"/>
        <v>0</v>
      </c>
      <c r="L19" s="49">
        <f t="shared" si="6"/>
        <v>0</v>
      </c>
      <c r="M19" s="49">
        <f t="shared" si="7"/>
        <v>0</v>
      </c>
      <c r="N19" s="49"/>
      <c r="O19" s="49">
        <v>0</v>
      </c>
      <c r="P19" s="49">
        <f>2281713-2099176</f>
        <v>182537</v>
      </c>
      <c r="Q19" s="49">
        <v>0</v>
      </c>
      <c r="R19" s="49">
        <v>0</v>
      </c>
      <c r="S19" s="49"/>
      <c r="T19" s="49"/>
      <c r="U19" s="49">
        <v>0</v>
      </c>
      <c r="V19" s="49">
        <f>2281713-2007908</f>
        <v>273805</v>
      </c>
      <c r="W19" s="49">
        <v>0</v>
      </c>
      <c r="X19" s="49">
        <v>0</v>
      </c>
      <c r="Y19" s="49">
        <v>0</v>
      </c>
      <c r="Z19" s="49"/>
    </row>
    <row r="20" spans="1:26" ht="12.75">
      <c r="A20" s="51">
        <f t="shared" si="8"/>
        <v>4</v>
      </c>
      <c r="B20" s="49" t="s">
        <v>322</v>
      </c>
      <c r="C20" s="49">
        <f t="shared" si="0"/>
        <v>8489</v>
      </c>
      <c r="D20" s="49">
        <f t="shared" si="1"/>
        <v>9795</v>
      </c>
      <c r="E20" s="49"/>
      <c r="F20" s="49"/>
      <c r="G20" s="49">
        <f t="shared" si="2"/>
        <v>9142</v>
      </c>
      <c r="H20" s="49"/>
      <c r="I20" s="49">
        <f t="shared" si="3"/>
        <v>9142</v>
      </c>
      <c r="J20" s="49">
        <f t="shared" si="4"/>
        <v>0</v>
      </c>
      <c r="K20" s="49">
        <f t="shared" si="5"/>
        <v>0</v>
      </c>
      <c r="L20" s="49">
        <f t="shared" si="6"/>
        <v>0</v>
      </c>
      <c r="M20" s="49">
        <f t="shared" si="7"/>
        <v>0</v>
      </c>
      <c r="N20" s="49"/>
      <c r="O20" s="49">
        <f>39182-30693</f>
        <v>8489</v>
      </c>
      <c r="P20" s="49">
        <v>0</v>
      </c>
      <c r="Q20" s="49">
        <v>0</v>
      </c>
      <c r="R20" s="49">
        <v>0</v>
      </c>
      <c r="S20" s="49"/>
      <c r="T20" s="49"/>
      <c r="U20" s="49">
        <f>39182-29387</f>
        <v>9795</v>
      </c>
      <c r="V20" s="49">
        <v>0</v>
      </c>
      <c r="W20" s="49">
        <v>0</v>
      </c>
      <c r="X20" s="49">
        <v>0</v>
      </c>
      <c r="Y20" s="49">
        <v>0</v>
      </c>
      <c r="Z20" s="49"/>
    </row>
    <row r="21" spans="1:26" ht="12.75">
      <c r="A21" s="51">
        <f t="shared" si="8"/>
        <v>5</v>
      </c>
      <c r="B21" s="49" t="s">
        <v>323</v>
      </c>
      <c r="C21" s="49">
        <f t="shared" si="0"/>
        <v>12040</v>
      </c>
      <c r="D21" s="49">
        <f t="shared" si="1"/>
        <v>15049</v>
      </c>
      <c r="E21" s="49"/>
      <c r="F21" s="49"/>
      <c r="G21" s="49">
        <f t="shared" si="2"/>
        <v>13545</v>
      </c>
      <c r="H21" s="49"/>
      <c r="I21" s="49">
        <f t="shared" si="3"/>
        <v>13544.5</v>
      </c>
      <c r="J21" s="49">
        <f t="shared" si="4"/>
        <v>0</v>
      </c>
      <c r="K21" s="49">
        <f t="shared" si="5"/>
        <v>0</v>
      </c>
      <c r="L21" s="49">
        <f t="shared" si="6"/>
        <v>0</v>
      </c>
      <c r="M21" s="49">
        <f t="shared" si="7"/>
        <v>0</v>
      </c>
      <c r="N21" s="49"/>
      <c r="O21" s="49">
        <f>90297-78257</f>
        <v>12040</v>
      </c>
      <c r="P21" s="49">
        <v>0</v>
      </c>
      <c r="Q21" s="49">
        <v>0</v>
      </c>
      <c r="R21" s="49">
        <v>0</v>
      </c>
      <c r="S21" s="49"/>
      <c r="T21" s="49"/>
      <c r="U21" s="49">
        <f>90297-75248</f>
        <v>15049</v>
      </c>
      <c r="V21" s="49">
        <v>0</v>
      </c>
      <c r="W21" s="49">
        <v>0</v>
      </c>
      <c r="X21" s="49">
        <v>0</v>
      </c>
      <c r="Y21" s="49">
        <v>0</v>
      </c>
      <c r="Z21" s="49"/>
    </row>
    <row r="22" spans="1:26" ht="12.75">
      <c r="A22" s="51">
        <f t="shared" si="8"/>
        <v>6</v>
      </c>
      <c r="B22" s="49" t="s">
        <v>324</v>
      </c>
      <c r="C22" s="49">
        <f t="shared" si="0"/>
        <v>5708017.32</v>
      </c>
      <c r="D22" s="49">
        <f t="shared" si="1"/>
        <v>7790296.25</v>
      </c>
      <c r="E22" s="49"/>
      <c r="F22" s="49"/>
      <c r="G22" s="49">
        <f t="shared" si="2"/>
        <v>6749157</v>
      </c>
      <c r="H22" s="49"/>
      <c r="I22" s="49">
        <f t="shared" si="3"/>
        <v>0</v>
      </c>
      <c r="J22" s="49">
        <f t="shared" si="4"/>
        <v>0</v>
      </c>
      <c r="K22" s="49">
        <f t="shared" si="5"/>
        <v>1449854.72</v>
      </c>
      <c r="L22" s="49">
        <f t="shared" si="6"/>
        <v>5299302.0649999995</v>
      </c>
      <c r="M22" s="49">
        <f t="shared" si="7"/>
        <v>0</v>
      </c>
      <c r="N22" s="49"/>
      <c r="O22" s="49">
        <v>0</v>
      </c>
      <c r="P22" s="49">
        <v>0</v>
      </c>
      <c r="Q22" s="49">
        <v>753471.27</v>
      </c>
      <c r="R22" s="49">
        <v>4954546.05</v>
      </c>
      <c r="S22" s="49"/>
      <c r="T22" s="49"/>
      <c r="U22" s="49">
        <v>0</v>
      </c>
      <c r="V22" s="49">
        <v>0</v>
      </c>
      <c r="W22" s="49">
        <v>2146238.17</v>
      </c>
      <c r="X22" s="49">
        <v>5644058.08</v>
      </c>
      <c r="Y22" s="49">
        <v>0</v>
      </c>
      <c r="Z22" s="49"/>
    </row>
    <row r="23" spans="1:26" ht="12.75">
      <c r="A23" s="51">
        <f t="shared" si="8"/>
        <v>7</v>
      </c>
      <c r="B23" s="49" t="s">
        <v>325</v>
      </c>
      <c r="C23" s="49">
        <f t="shared" si="0"/>
        <v>-0.89</v>
      </c>
      <c r="D23" s="49">
        <f t="shared" si="1"/>
        <v>-0.89</v>
      </c>
      <c r="E23" s="49"/>
      <c r="F23" s="49"/>
      <c r="G23" s="49">
        <f t="shared" si="2"/>
        <v>-1</v>
      </c>
      <c r="H23" s="49"/>
      <c r="I23" s="49">
        <f t="shared" si="3"/>
        <v>0</v>
      </c>
      <c r="J23" s="49">
        <f t="shared" si="4"/>
        <v>0</v>
      </c>
      <c r="K23" s="49">
        <f t="shared" si="5"/>
        <v>0</v>
      </c>
      <c r="L23" s="49">
        <f t="shared" si="6"/>
        <v>-0.89</v>
      </c>
      <c r="M23" s="49">
        <f t="shared" si="7"/>
        <v>0</v>
      </c>
      <c r="N23" s="49"/>
      <c r="O23" s="49">
        <v>0</v>
      </c>
      <c r="P23" s="49">
        <v>0</v>
      </c>
      <c r="Q23" s="49">
        <v>0</v>
      </c>
      <c r="R23" s="49">
        <v>-0.89</v>
      </c>
      <c r="S23" s="49"/>
      <c r="T23" s="49"/>
      <c r="U23" s="49">
        <v>0</v>
      </c>
      <c r="V23" s="49">
        <v>0</v>
      </c>
      <c r="W23" s="49">
        <v>0</v>
      </c>
      <c r="X23" s="49">
        <v>-0.89</v>
      </c>
      <c r="Y23" s="49">
        <v>0</v>
      </c>
      <c r="Z23" s="49"/>
    </row>
    <row r="24" spans="1:26" ht="12.75">
      <c r="A24" s="51">
        <f t="shared" si="8"/>
        <v>8</v>
      </c>
      <c r="B24" s="49" t="s">
        <v>326</v>
      </c>
      <c r="C24" s="49">
        <f t="shared" si="0"/>
        <v>-1009009.6699999999</v>
      </c>
      <c r="D24" s="49">
        <f t="shared" si="1"/>
        <v>1504291.4</v>
      </c>
      <c r="E24" s="49"/>
      <c r="F24" s="49"/>
      <c r="G24" s="49">
        <f t="shared" si="2"/>
        <v>247641</v>
      </c>
      <c r="H24" s="49"/>
      <c r="I24" s="49">
        <f t="shared" si="3"/>
        <v>765879.4349999999</v>
      </c>
      <c r="J24" s="49">
        <f t="shared" si="4"/>
        <v>0.15</v>
      </c>
      <c r="K24" s="49">
        <f t="shared" si="5"/>
        <v>586290.21</v>
      </c>
      <c r="L24" s="49">
        <f t="shared" si="6"/>
        <v>-1104528.93</v>
      </c>
      <c r="M24" s="49">
        <f t="shared" si="7"/>
        <v>0</v>
      </c>
      <c r="N24" s="49"/>
      <c r="O24" s="49">
        <v>237766.15</v>
      </c>
      <c r="P24" s="49">
        <v>0.15</v>
      </c>
      <c r="Q24" s="49">
        <v>598106.21</v>
      </c>
      <c r="R24" s="49">
        <v>-1844882.18</v>
      </c>
      <c r="S24" s="49"/>
      <c r="T24" s="49"/>
      <c r="U24" s="49">
        <v>1293992.72</v>
      </c>
      <c r="V24" s="49">
        <v>0.15</v>
      </c>
      <c r="W24" s="49">
        <v>574474.21</v>
      </c>
      <c r="X24" s="49">
        <v>-364175.68</v>
      </c>
      <c r="Y24" s="49">
        <v>0</v>
      </c>
      <c r="Z24" s="49"/>
    </row>
    <row r="25" spans="1:26" ht="12.75">
      <c r="A25" s="51">
        <f t="shared" si="8"/>
        <v>9</v>
      </c>
      <c r="B25" s="49" t="s">
        <v>152</v>
      </c>
      <c r="C25" s="49">
        <f t="shared" si="0"/>
        <v>602567.4500000002</v>
      </c>
      <c r="D25" s="49">
        <f t="shared" si="1"/>
        <v>1202152.19</v>
      </c>
      <c r="E25" s="49"/>
      <c r="F25" s="49"/>
      <c r="G25" s="49">
        <f t="shared" si="2"/>
        <v>902360</v>
      </c>
      <c r="H25" s="49"/>
      <c r="I25" s="49">
        <f t="shared" si="3"/>
        <v>-1035032.475</v>
      </c>
      <c r="J25" s="49">
        <f t="shared" si="4"/>
        <v>0</v>
      </c>
      <c r="K25" s="49">
        <f t="shared" si="5"/>
        <v>1422736.55</v>
      </c>
      <c r="L25" s="49">
        <f t="shared" si="6"/>
        <v>514655.745</v>
      </c>
      <c r="M25" s="49">
        <f t="shared" si="7"/>
        <v>0</v>
      </c>
      <c r="N25" s="49"/>
      <c r="O25" s="49">
        <v>-1032402.45</v>
      </c>
      <c r="P25" s="49">
        <v>0</v>
      </c>
      <c r="Q25" s="49">
        <v>1526675.35</v>
      </c>
      <c r="R25" s="49">
        <v>108294.55</v>
      </c>
      <c r="S25" s="49"/>
      <c r="T25" s="49"/>
      <c r="U25" s="49">
        <v>-1037662.5</v>
      </c>
      <c r="V25" s="49">
        <v>0</v>
      </c>
      <c r="W25" s="49">
        <v>1318797.75</v>
      </c>
      <c r="X25" s="49">
        <v>921016.94</v>
      </c>
      <c r="Y25" s="49">
        <v>0</v>
      </c>
      <c r="Z25" s="49"/>
    </row>
    <row r="26" spans="1:26" ht="12.75">
      <c r="A26" s="51">
        <f t="shared" si="8"/>
        <v>10</v>
      </c>
      <c r="B26" s="49" t="s">
        <v>327</v>
      </c>
      <c r="C26" s="49">
        <f t="shared" si="0"/>
        <v>-650000</v>
      </c>
      <c r="D26" s="49">
        <f t="shared" si="1"/>
        <v>-650000</v>
      </c>
      <c r="E26" s="49"/>
      <c r="F26" s="49"/>
      <c r="G26" s="49">
        <f t="shared" si="2"/>
        <v>-650000</v>
      </c>
      <c r="H26" s="49"/>
      <c r="I26" s="49">
        <f t="shared" si="3"/>
        <v>0</v>
      </c>
      <c r="J26" s="49">
        <f t="shared" si="4"/>
        <v>0</v>
      </c>
      <c r="K26" s="49">
        <f t="shared" si="5"/>
        <v>-650000</v>
      </c>
      <c r="L26" s="49">
        <f t="shared" si="6"/>
        <v>0</v>
      </c>
      <c r="M26" s="49">
        <f t="shared" si="7"/>
        <v>0</v>
      </c>
      <c r="N26" s="49"/>
      <c r="O26" s="49">
        <v>0</v>
      </c>
      <c r="P26" s="49">
        <v>0</v>
      </c>
      <c r="Q26" s="49">
        <v>-650000</v>
      </c>
      <c r="R26" s="49">
        <v>0</v>
      </c>
      <c r="S26" s="49"/>
      <c r="T26" s="49"/>
      <c r="U26" s="49">
        <v>0</v>
      </c>
      <c r="V26" s="49">
        <v>0</v>
      </c>
      <c r="W26" s="49">
        <v>-650000</v>
      </c>
      <c r="X26" s="49">
        <v>0</v>
      </c>
      <c r="Y26" s="49">
        <v>0</v>
      </c>
      <c r="Z26" s="49"/>
    </row>
    <row r="27" spans="1:26" ht="12.75">
      <c r="A27" s="51">
        <f t="shared" si="8"/>
        <v>11</v>
      </c>
      <c r="B27" s="49" t="s">
        <v>328</v>
      </c>
      <c r="C27" s="49">
        <f t="shared" si="0"/>
        <v>650001</v>
      </c>
      <c r="D27" s="49">
        <f t="shared" si="1"/>
        <v>650001</v>
      </c>
      <c r="E27" s="49"/>
      <c r="F27" s="49"/>
      <c r="G27" s="49">
        <f t="shared" si="2"/>
        <v>650001</v>
      </c>
      <c r="H27" s="49"/>
      <c r="I27" s="49">
        <f t="shared" si="3"/>
        <v>0</v>
      </c>
      <c r="J27" s="49">
        <f t="shared" si="4"/>
        <v>0</v>
      </c>
      <c r="K27" s="49">
        <f t="shared" si="5"/>
        <v>650001</v>
      </c>
      <c r="L27" s="49">
        <f t="shared" si="6"/>
        <v>0</v>
      </c>
      <c r="M27" s="49">
        <f t="shared" si="7"/>
        <v>0</v>
      </c>
      <c r="N27" s="49"/>
      <c r="O27" s="49">
        <v>0</v>
      </c>
      <c r="P27" s="49">
        <v>0</v>
      </c>
      <c r="Q27" s="49">
        <v>650001</v>
      </c>
      <c r="R27" s="49">
        <v>0</v>
      </c>
      <c r="S27" s="49"/>
      <c r="T27" s="49"/>
      <c r="U27" s="49">
        <v>0</v>
      </c>
      <c r="V27" s="49">
        <v>0</v>
      </c>
      <c r="W27" s="49">
        <v>650001</v>
      </c>
      <c r="X27" s="49">
        <v>0</v>
      </c>
      <c r="Y27" s="49">
        <v>0</v>
      </c>
      <c r="Z27" s="49"/>
    </row>
    <row r="28" spans="1:26" ht="12.75">
      <c r="A28" s="51">
        <f t="shared" si="8"/>
        <v>12</v>
      </c>
      <c r="B28" s="49" t="s">
        <v>329</v>
      </c>
      <c r="C28" s="49">
        <f t="shared" si="0"/>
        <v>13778433.21</v>
      </c>
      <c r="D28" s="49">
        <f t="shared" si="1"/>
        <v>15038715.81</v>
      </c>
      <c r="E28" s="49"/>
      <c r="F28" s="49"/>
      <c r="G28" s="49">
        <f t="shared" si="2"/>
        <v>14408575</v>
      </c>
      <c r="H28" s="49"/>
      <c r="I28" s="49">
        <f t="shared" si="3"/>
        <v>14408574.510000002</v>
      </c>
      <c r="J28" s="49">
        <f t="shared" si="4"/>
        <v>0</v>
      </c>
      <c r="K28" s="49">
        <f t="shared" si="5"/>
        <v>0</v>
      </c>
      <c r="L28" s="49">
        <f t="shared" si="6"/>
        <v>0</v>
      </c>
      <c r="M28" s="49">
        <f t="shared" si="7"/>
        <v>0</v>
      </c>
      <c r="N28" s="49"/>
      <c r="O28" s="49">
        <f>14183710.21-405277</f>
        <v>13778433.21</v>
      </c>
      <c r="P28" s="49">
        <v>0</v>
      </c>
      <c r="Q28" s="49">
        <v>0</v>
      </c>
      <c r="R28" s="49">
        <v>0</v>
      </c>
      <c r="S28" s="49"/>
      <c r="T28" s="49"/>
      <c r="U28" s="49">
        <f>15481060.81-442345</f>
        <v>15038715.81</v>
      </c>
      <c r="V28" s="49">
        <v>0</v>
      </c>
      <c r="W28" s="49">
        <v>0</v>
      </c>
      <c r="X28" s="49">
        <v>0</v>
      </c>
      <c r="Y28" s="49">
        <v>0</v>
      </c>
      <c r="Z28" s="49"/>
    </row>
    <row r="29" spans="1:26" ht="12.75">
      <c r="A29" s="51">
        <f t="shared" si="8"/>
        <v>13</v>
      </c>
      <c r="B29" s="49" t="s">
        <v>330</v>
      </c>
      <c r="C29" s="49">
        <f t="shared" si="0"/>
        <v>596317.05</v>
      </c>
      <c r="D29" s="49">
        <f t="shared" si="1"/>
        <v>-6004442.99</v>
      </c>
      <c r="E29" s="49"/>
      <c r="F29" s="49"/>
      <c r="G29" s="49">
        <f t="shared" si="2"/>
        <v>-2704063</v>
      </c>
      <c r="H29" s="49"/>
      <c r="I29" s="49">
        <f t="shared" si="3"/>
        <v>-2704062.97</v>
      </c>
      <c r="J29" s="49">
        <f t="shared" si="4"/>
        <v>0</v>
      </c>
      <c r="K29" s="49">
        <f t="shared" si="5"/>
        <v>0</v>
      </c>
      <c r="L29" s="49">
        <f t="shared" si="6"/>
        <v>0</v>
      </c>
      <c r="M29" s="49">
        <f t="shared" si="7"/>
        <v>0</v>
      </c>
      <c r="N29" s="49"/>
      <c r="O29" s="49">
        <v>596317.05</v>
      </c>
      <c r="P29" s="49">
        <v>0</v>
      </c>
      <c r="Q29" s="49">
        <v>0</v>
      </c>
      <c r="R29" s="49">
        <v>0</v>
      </c>
      <c r="S29" s="49"/>
      <c r="T29" s="49"/>
      <c r="U29" s="49">
        <v>-6004442.99</v>
      </c>
      <c r="V29" s="49">
        <v>0</v>
      </c>
      <c r="W29" s="49">
        <v>0</v>
      </c>
      <c r="X29" s="49">
        <v>0</v>
      </c>
      <c r="Y29" s="49">
        <v>0</v>
      </c>
      <c r="Z29" s="49"/>
    </row>
    <row r="30" spans="1:26" ht="12.75">
      <c r="A30" s="51">
        <f t="shared" si="8"/>
        <v>14</v>
      </c>
      <c r="B30" s="49" t="s">
        <v>156</v>
      </c>
      <c r="C30" s="49">
        <f t="shared" si="0"/>
        <v>170719.63</v>
      </c>
      <c r="D30" s="49">
        <f t="shared" si="1"/>
        <v>280789.82</v>
      </c>
      <c r="E30" s="49"/>
      <c r="F30" s="49"/>
      <c r="G30" s="49">
        <f t="shared" si="2"/>
        <v>225755</v>
      </c>
      <c r="H30" s="49"/>
      <c r="I30" s="49">
        <f t="shared" si="3"/>
        <v>3729.6349999999998</v>
      </c>
      <c r="J30" s="49">
        <f t="shared" si="4"/>
        <v>2228.52</v>
      </c>
      <c r="K30" s="49">
        <f t="shared" si="5"/>
        <v>874.9100000000001</v>
      </c>
      <c r="L30" s="49">
        <f t="shared" si="6"/>
        <v>218921.66</v>
      </c>
      <c r="M30" s="49">
        <f t="shared" si="7"/>
        <v>0</v>
      </c>
      <c r="N30" s="49"/>
      <c r="O30" s="49">
        <v>7218.87</v>
      </c>
      <c r="P30" s="49">
        <v>577.37</v>
      </c>
      <c r="Q30" s="49">
        <v>1498.2</v>
      </c>
      <c r="R30" s="49">
        <v>161425.19</v>
      </c>
      <c r="S30" s="49"/>
      <c r="T30" s="49"/>
      <c r="U30" s="49">
        <v>240.4</v>
      </c>
      <c r="V30" s="49">
        <v>3879.67</v>
      </c>
      <c r="W30" s="49">
        <v>251.62</v>
      </c>
      <c r="X30" s="49">
        <v>276418.13</v>
      </c>
      <c r="Y30" s="49">
        <v>0</v>
      </c>
      <c r="Z30" s="49"/>
    </row>
    <row r="31" spans="1:26" ht="12.75">
      <c r="A31" s="51">
        <f t="shared" si="8"/>
        <v>15</v>
      </c>
      <c r="B31" s="49" t="s">
        <v>331</v>
      </c>
      <c r="C31" s="49">
        <f t="shared" si="0"/>
        <v>0</v>
      </c>
      <c r="D31" s="49">
        <f t="shared" si="1"/>
        <v>1355</v>
      </c>
      <c r="E31" s="49"/>
      <c r="F31" s="49"/>
      <c r="G31" s="49">
        <f t="shared" si="2"/>
        <v>678</v>
      </c>
      <c r="H31" s="49"/>
      <c r="I31" s="49">
        <f t="shared" si="3"/>
        <v>0</v>
      </c>
      <c r="J31" s="49">
        <f t="shared" si="4"/>
        <v>0</v>
      </c>
      <c r="K31" s="49">
        <f t="shared" si="5"/>
        <v>0</v>
      </c>
      <c r="L31" s="49">
        <f t="shared" si="6"/>
        <v>677.5</v>
      </c>
      <c r="M31" s="49">
        <f t="shared" si="7"/>
        <v>0</v>
      </c>
      <c r="N31" s="49"/>
      <c r="O31" s="49">
        <v>0</v>
      </c>
      <c r="P31" s="49">
        <v>0</v>
      </c>
      <c r="Q31" s="49">
        <v>0</v>
      </c>
      <c r="R31" s="49">
        <v>0</v>
      </c>
      <c r="S31" s="49"/>
      <c r="T31" s="49"/>
      <c r="U31" s="49">
        <v>0</v>
      </c>
      <c r="V31" s="49">
        <v>0</v>
      </c>
      <c r="W31" s="49">
        <v>0</v>
      </c>
      <c r="X31" s="49">
        <v>1355</v>
      </c>
      <c r="Y31" s="49">
        <v>0</v>
      </c>
      <c r="Z31" s="49"/>
    </row>
    <row r="32" spans="1:26" ht="12.75">
      <c r="A32" s="51">
        <f t="shared" si="8"/>
        <v>16</v>
      </c>
      <c r="B32" s="49" t="s">
        <v>57</v>
      </c>
      <c r="C32" s="49">
        <f t="shared" si="0"/>
        <v>-41478267.900000006</v>
      </c>
      <c r="D32" s="49">
        <f t="shared" si="1"/>
        <v>-30868491.89</v>
      </c>
      <c r="E32" s="49"/>
      <c r="F32" s="49"/>
      <c r="G32" s="49">
        <f t="shared" si="2"/>
        <v>-36173380</v>
      </c>
      <c r="H32" s="49"/>
      <c r="I32" s="49">
        <f t="shared" si="3"/>
        <v>-7336449.515000001</v>
      </c>
      <c r="J32" s="49">
        <f t="shared" si="4"/>
        <v>-11792085.475000001</v>
      </c>
      <c r="K32" s="49">
        <f t="shared" si="5"/>
        <v>-2236848.515</v>
      </c>
      <c r="L32" s="49">
        <f t="shared" si="6"/>
        <v>-14807996.39</v>
      </c>
      <c r="M32" s="49">
        <f t="shared" si="7"/>
        <v>0</v>
      </c>
      <c r="N32" s="49"/>
      <c r="O32" s="49">
        <v>-8619868.32</v>
      </c>
      <c r="P32" s="49">
        <v>-13988353.74</v>
      </c>
      <c r="Q32" s="49">
        <v>-2453750.87</v>
      </c>
      <c r="R32" s="49">
        <v>-16416294.97</v>
      </c>
      <c r="S32" s="49"/>
      <c r="T32" s="49"/>
      <c r="U32" s="49">
        <v>-6053030.71</v>
      </c>
      <c r="V32" s="49">
        <v>-9595817.21</v>
      </c>
      <c r="W32" s="49">
        <v>-2019946.16</v>
      </c>
      <c r="X32" s="52">
        <v>-13199697.81</v>
      </c>
      <c r="Y32" s="49">
        <v>0</v>
      </c>
      <c r="Z32" s="49"/>
    </row>
    <row r="33" spans="1:26" ht="12.75">
      <c r="A33" s="51">
        <f t="shared" si="8"/>
        <v>17</v>
      </c>
      <c r="B33" s="49" t="s">
        <v>332</v>
      </c>
      <c r="C33" s="49">
        <f t="shared" si="0"/>
        <v>72328521.3</v>
      </c>
      <c r="D33" s="49">
        <f t="shared" si="1"/>
        <v>69733549.9</v>
      </c>
      <c r="E33" s="49"/>
      <c r="F33" s="49"/>
      <c r="G33" s="49">
        <f t="shared" si="2"/>
        <v>71031036</v>
      </c>
      <c r="H33" s="49"/>
      <c r="I33" s="49">
        <f t="shared" si="3"/>
        <v>14887181.4</v>
      </c>
      <c r="J33" s="49">
        <f t="shared" si="4"/>
        <v>21015704.5</v>
      </c>
      <c r="K33" s="49">
        <f t="shared" si="5"/>
        <v>5381784.8</v>
      </c>
      <c r="L33" s="49">
        <f t="shared" si="6"/>
        <v>29746364.9</v>
      </c>
      <c r="M33" s="49">
        <f t="shared" si="7"/>
        <v>0</v>
      </c>
      <c r="N33" s="49"/>
      <c r="O33" s="49">
        <v>15329392.05</v>
      </c>
      <c r="P33" s="49">
        <v>20929182.05</v>
      </c>
      <c r="Q33" s="49">
        <v>5550915.3</v>
      </c>
      <c r="R33" s="49">
        <v>30519031.9</v>
      </c>
      <c r="S33" s="49"/>
      <c r="T33" s="49"/>
      <c r="U33" s="49">
        <v>14444970.75</v>
      </c>
      <c r="V33" s="49">
        <v>21102226.95</v>
      </c>
      <c r="W33" s="49">
        <v>5212654.3</v>
      </c>
      <c r="X33" s="49">
        <v>28973697.9</v>
      </c>
      <c r="Y33" s="49">
        <v>0</v>
      </c>
      <c r="Z33" s="49"/>
    </row>
    <row r="34" spans="1:26" ht="12.75">
      <c r="A34" s="51">
        <f t="shared" si="8"/>
        <v>18</v>
      </c>
      <c r="B34" s="49" t="s">
        <v>333</v>
      </c>
      <c r="C34" s="49">
        <f t="shared" si="0"/>
        <v>-107199.76999999999</v>
      </c>
      <c r="D34" s="49">
        <f t="shared" si="1"/>
        <v>106021.92000000001</v>
      </c>
      <c r="E34" s="49"/>
      <c r="F34" s="49"/>
      <c r="G34" s="49">
        <f t="shared" si="2"/>
        <v>-589</v>
      </c>
      <c r="H34" s="49"/>
      <c r="I34" s="49">
        <f t="shared" si="3"/>
        <v>5831.07</v>
      </c>
      <c r="J34" s="49">
        <f t="shared" si="4"/>
        <v>3990.345</v>
      </c>
      <c r="K34" s="49">
        <f t="shared" si="5"/>
        <v>27776.885000000002</v>
      </c>
      <c r="L34" s="49">
        <f t="shared" si="6"/>
        <v>-38187.22499999999</v>
      </c>
      <c r="M34" s="49">
        <f t="shared" si="7"/>
        <v>0</v>
      </c>
      <c r="N34" s="49"/>
      <c r="O34" s="49">
        <v>5831.07</v>
      </c>
      <c r="P34" s="49">
        <v>6022.58</v>
      </c>
      <c r="Q34" s="49">
        <v>27395.63</v>
      </c>
      <c r="R34" s="49">
        <v>-146449.05</v>
      </c>
      <c r="S34" s="49"/>
      <c r="T34" s="49"/>
      <c r="U34" s="49">
        <v>5831.07</v>
      </c>
      <c r="V34" s="49">
        <v>1958.11</v>
      </c>
      <c r="W34" s="49">
        <v>28158.14</v>
      </c>
      <c r="X34" s="49">
        <v>70074.6</v>
      </c>
      <c r="Y34" s="49">
        <v>0</v>
      </c>
      <c r="Z34" s="49"/>
    </row>
    <row r="35" spans="1:26" ht="12.75">
      <c r="A35" s="51">
        <f t="shared" si="8"/>
        <v>19</v>
      </c>
      <c r="B35" s="49" t="s">
        <v>334</v>
      </c>
      <c r="C35" s="49">
        <f t="shared" si="0"/>
        <v>204325.1</v>
      </c>
      <c r="D35" s="49">
        <f t="shared" si="1"/>
        <v>259908.26</v>
      </c>
      <c r="E35" s="49"/>
      <c r="F35" s="49"/>
      <c r="G35" s="49">
        <f t="shared" si="2"/>
        <v>232117</v>
      </c>
      <c r="H35" s="49"/>
      <c r="I35" s="49">
        <f t="shared" si="3"/>
        <v>1464.9250000000002</v>
      </c>
      <c r="J35" s="49">
        <f t="shared" si="4"/>
        <v>9199.05</v>
      </c>
      <c r="K35" s="49">
        <f t="shared" si="5"/>
        <v>26346.075</v>
      </c>
      <c r="L35" s="49">
        <f t="shared" si="6"/>
        <v>195106.63</v>
      </c>
      <c r="M35" s="49">
        <f t="shared" si="7"/>
        <v>0</v>
      </c>
      <c r="N35" s="49"/>
      <c r="O35" s="49">
        <v>-5886.65</v>
      </c>
      <c r="P35" s="49">
        <v>11995.9</v>
      </c>
      <c r="Q35" s="49">
        <v>27343.75</v>
      </c>
      <c r="R35" s="49">
        <v>170872.1</v>
      </c>
      <c r="S35" s="49"/>
      <c r="T35" s="49"/>
      <c r="U35" s="49">
        <v>8816.5</v>
      </c>
      <c r="V35" s="49">
        <v>6402.2</v>
      </c>
      <c r="W35" s="49">
        <v>25348.4</v>
      </c>
      <c r="X35" s="49">
        <v>219341.16</v>
      </c>
      <c r="Y35" s="49">
        <v>0</v>
      </c>
      <c r="Z35" s="49"/>
    </row>
    <row r="36" spans="1:26" ht="12.75">
      <c r="A36" s="51">
        <f t="shared" si="8"/>
        <v>20</v>
      </c>
      <c r="B36" s="49" t="s">
        <v>335</v>
      </c>
      <c r="C36" s="49">
        <f t="shared" si="0"/>
        <v>400597.85</v>
      </c>
      <c r="D36" s="49">
        <f t="shared" si="1"/>
        <v>446054.26</v>
      </c>
      <c r="E36" s="49"/>
      <c r="F36" s="49"/>
      <c r="G36" s="49">
        <f t="shared" si="2"/>
        <v>423326</v>
      </c>
      <c r="H36" s="49"/>
      <c r="I36" s="49">
        <f t="shared" si="3"/>
        <v>2</v>
      </c>
      <c r="J36" s="49">
        <f t="shared" si="4"/>
        <v>211896.605</v>
      </c>
      <c r="K36" s="49">
        <f t="shared" si="5"/>
        <v>-0.25</v>
      </c>
      <c r="L36" s="49">
        <f t="shared" si="6"/>
        <v>211427.7</v>
      </c>
      <c r="M36" s="49">
        <f t="shared" si="7"/>
        <v>0</v>
      </c>
      <c r="N36" s="49"/>
      <c r="O36" s="49">
        <v>2</v>
      </c>
      <c r="P36" s="49">
        <v>200351.73</v>
      </c>
      <c r="Q36" s="49">
        <v>-0.25</v>
      </c>
      <c r="R36" s="49">
        <v>200244.37</v>
      </c>
      <c r="S36" s="49"/>
      <c r="T36" s="49"/>
      <c r="U36" s="49">
        <v>2</v>
      </c>
      <c r="V36" s="49">
        <v>223441.48</v>
      </c>
      <c r="W36" s="49">
        <v>-0.25</v>
      </c>
      <c r="X36" s="49">
        <v>222611.03</v>
      </c>
      <c r="Y36" s="49">
        <v>0</v>
      </c>
      <c r="Z36" s="49"/>
    </row>
    <row r="37" spans="1:26" ht="12.75">
      <c r="A37" s="51">
        <f t="shared" si="8"/>
        <v>21</v>
      </c>
      <c r="B37" s="49" t="s">
        <v>336</v>
      </c>
      <c r="C37" s="49">
        <f t="shared" si="0"/>
        <v>0</v>
      </c>
      <c r="D37" s="49">
        <f t="shared" si="1"/>
        <v>-1354.69</v>
      </c>
      <c r="E37" s="49"/>
      <c r="F37" s="49"/>
      <c r="G37" s="49">
        <f t="shared" si="2"/>
        <v>-677</v>
      </c>
      <c r="H37" s="49"/>
      <c r="I37" s="49">
        <f t="shared" si="3"/>
        <v>0</v>
      </c>
      <c r="J37" s="49">
        <f t="shared" si="4"/>
        <v>0</v>
      </c>
      <c r="K37" s="49">
        <f t="shared" si="5"/>
        <v>0</v>
      </c>
      <c r="L37" s="49">
        <f t="shared" si="6"/>
        <v>-677.345</v>
      </c>
      <c r="M37" s="49">
        <f t="shared" si="7"/>
        <v>0</v>
      </c>
      <c r="N37" s="49"/>
      <c r="O37" s="49">
        <v>0</v>
      </c>
      <c r="P37" s="49">
        <v>0</v>
      </c>
      <c r="Q37" s="49">
        <v>0</v>
      </c>
      <c r="R37" s="49">
        <v>0</v>
      </c>
      <c r="S37" s="49"/>
      <c r="T37" s="49"/>
      <c r="U37" s="49">
        <v>0</v>
      </c>
      <c r="V37" s="49">
        <v>0</v>
      </c>
      <c r="W37" s="49">
        <v>0</v>
      </c>
      <c r="X37" s="49">
        <v>-1354.69</v>
      </c>
      <c r="Y37" s="49">
        <v>0</v>
      </c>
      <c r="Z37" s="49"/>
    </row>
    <row r="38" spans="1:26" ht="12.75">
      <c r="A38" s="51">
        <f t="shared" si="8"/>
        <v>22</v>
      </c>
      <c r="B38" s="49" t="s">
        <v>337</v>
      </c>
      <c r="C38" s="49">
        <f t="shared" si="0"/>
        <v>0</v>
      </c>
      <c r="D38" s="49">
        <f t="shared" si="1"/>
        <v>-0.35</v>
      </c>
      <c r="E38" s="49"/>
      <c r="F38" s="49"/>
      <c r="G38" s="49">
        <f t="shared" si="2"/>
        <v>0</v>
      </c>
      <c r="H38" s="49"/>
      <c r="I38" s="49">
        <f t="shared" si="3"/>
        <v>0</v>
      </c>
      <c r="J38" s="49">
        <f t="shared" si="4"/>
        <v>0</v>
      </c>
      <c r="K38" s="49">
        <f t="shared" si="5"/>
        <v>0</v>
      </c>
      <c r="L38" s="49">
        <f t="shared" si="6"/>
        <v>-0.175</v>
      </c>
      <c r="M38" s="49">
        <f t="shared" si="7"/>
        <v>0</v>
      </c>
      <c r="N38" s="49"/>
      <c r="O38" s="49">
        <v>0</v>
      </c>
      <c r="P38" s="49">
        <v>0</v>
      </c>
      <c r="Q38" s="49">
        <v>0</v>
      </c>
      <c r="R38" s="49">
        <v>0</v>
      </c>
      <c r="S38" s="49"/>
      <c r="T38" s="49"/>
      <c r="U38" s="49">
        <v>0</v>
      </c>
      <c r="V38" s="49">
        <v>0</v>
      </c>
      <c r="W38" s="49">
        <v>0</v>
      </c>
      <c r="X38" s="49">
        <v>-0.35</v>
      </c>
      <c r="Y38" s="49">
        <v>0</v>
      </c>
      <c r="Z38" s="49"/>
    </row>
    <row r="39" spans="1:26" ht="12.75">
      <c r="A39" s="51">
        <f t="shared" si="8"/>
        <v>23</v>
      </c>
      <c r="B39" s="49" t="s">
        <v>161</v>
      </c>
      <c r="C39" s="49">
        <f t="shared" si="0"/>
        <v>1417903.88</v>
      </c>
      <c r="D39" s="49">
        <f t="shared" si="1"/>
        <v>731337.6300000001</v>
      </c>
      <c r="E39" s="49"/>
      <c r="F39" s="49"/>
      <c r="G39" s="49">
        <f t="shared" si="2"/>
        <v>1074621</v>
      </c>
      <c r="H39" s="49"/>
      <c r="I39" s="49">
        <f t="shared" si="3"/>
        <v>100443.175</v>
      </c>
      <c r="J39" s="49">
        <f t="shared" si="4"/>
        <v>570377.755</v>
      </c>
      <c r="K39" s="49">
        <f t="shared" si="5"/>
        <v>0</v>
      </c>
      <c r="L39" s="49">
        <f t="shared" si="6"/>
        <v>403799.82499999995</v>
      </c>
      <c r="M39" s="49">
        <f t="shared" si="7"/>
        <v>0</v>
      </c>
      <c r="N39" s="49"/>
      <c r="O39" s="49">
        <v>63598.09</v>
      </c>
      <c r="P39" s="49">
        <v>738662.94</v>
      </c>
      <c r="Q39" s="49">
        <v>0</v>
      </c>
      <c r="R39" s="49">
        <v>615642.85</v>
      </c>
      <c r="S39" s="49"/>
      <c r="T39" s="49"/>
      <c r="U39" s="49">
        <v>137288.26</v>
      </c>
      <c r="V39" s="49">
        <v>402092.57</v>
      </c>
      <c r="W39" s="49">
        <v>0</v>
      </c>
      <c r="X39" s="49">
        <v>191956.8</v>
      </c>
      <c r="Y39" s="49">
        <v>0</v>
      </c>
      <c r="Z39" s="49"/>
    </row>
    <row r="40" spans="1:26" ht="12.75">
      <c r="A40" s="51">
        <f t="shared" si="8"/>
        <v>24</v>
      </c>
      <c r="B40" s="49" t="s">
        <v>338</v>
      </c>
      <c r="C40" s="49">
        <f t="shared" si="0"/>
        <v>1580617.5</v>
      </c>
      <c r="D40" s="49">
        <f t="shared" si="1"/>
        <v>1213117.5</v>
      </c>
      <c r="E40" s="49"/>
      <c r="F40" s="49"/>
      <c r="G40" s="49">
        <f t="shared" si="2"/>
        <v>1396868</v>
      </c>
      <c r="H40" s="49"/>
      <c r="I40" s="49">
        <f t="shared" si="3"/>
        <v>0</v>
      </c>
      <c r="J40" s="49">
        <f t="shared" si="4"/>
        <v>1396867.5</v>
      </c>
      <c r="K40" s="49">
        <f t="shared" si="5"/>
        <v>0</v>
      </c>
      <c r="L40" s="49">
        <f t="shared" si="6"/>
        <v>0</v>
      </c>
      <c r="M40" s="49">
        <f t="shared" si="7"/>
        <v>0</v>
      </c>
      <c r="N40" s="49"/>
      <c r="O40" s="49">
        <v>0</v>
      </c>
      <c r="P40" s="49">
        <v>1580617.5</v>
      </c>
      <c r="Q40" s="49">
        <v>0</v>
      </c>
      <c r="R40" s="49">
        <v>0</v>
      </c>
      <c r="S40" s="49"/>
      <c r="T40" s="49"/>
      <c r="U40" s="49">
        <v>0</v>
      </c>
      <c r="V40" s="49">
        <v>1213117.5</v>
      </c>
      <c r="W40" s="49">
        <v>0</v>
      </c>
      <c r="X40" s="49">
        <v>0</v>
      </c>
      <c r="Y40" s="49">
        <v>0</v>
      </c>
      <c r="Z40" s="49"/>
    </row>
    <row r="41" spans="1:26" ht="12.75">
      <c r="A41" s="51">
        <f t="shared" si="8"/>
        <v>25</v>
      </c>
      <c r="B41" s="49" t="s">
        <v>162</v>
      </c>
      <c r="C41" s="49">
        <f t="shared" si="0"/>
        <v>612331.0199999999</v>
      </c>
      <c r="D41" s="49">
        <f t="shared" si="1"/>
        <v>592240.86</v>
      </c>
      <c r="E41" s="49"/>
      <c r="F41" s="49"/>
      <c r="G41" s="49">
        <f t="shared" si="2"/>
        <v>602286</v>
      </c>
      <c r="H41" s="49"/>
      <c r="I41" s="49">
        <f t="shared" si="3"/>
        <v>15512.405</v>
      </c>
      <c r="J41" s="49">
        <f t="shared" si="4"/>
        <v>28502.68</v>
      </c>
      <c r="K41" s="49">
        <f t="shared" si="5"/>
        <v>539190.6</v>
      </c>
      <c r="L41" s="49">
        <f t="shared" si="6"/>
        <v>19080.255</v>
      </c>
      <c r="M41" s="49">
        <f t="shared" si="7"/>
        <v>0</v>
      </c>
      <c r="N41" s="49"/>
      <c r="O41" s="49">
        <v>0.61</v>
      </c>
      <c r="P41" s="49">
        <v>57005.37</v>
      </c>
      <c r="Q41" s="49">
        <v>539190.6</v>
      </c>
      <c r="R41" s="49">
        <v>16134.44</v>
      </c>
      <c r="S41" s="49"/>
      <c r="T41" s="49"/>
      <c r="U41" s="49">
        <v>31024.2</v>
      </c>
      <c r="V41" s="49">
        <v>-0.01</v>
      </c>
      <c r="W41" s="49">
        <v>539190.6</v>
      </c>
      <c r="X41" s="49">
        <v>22026.07</v>
      </c>
      <c r="Y41" s="49">
        <v>0</v>
      </c>
      <c r="Z41" s="49"/>
    </row>
    <row r="42" spans="1:26" ht="12.75">
      <c r="A42" s="51">
        <f t="shared" si="8"/>
        <v>26</v>
      </c>
      <c r="B42" s="49" t="s">
        <v>163</v>
      </c>
      <c r="C42" s="49">
        <f t="shared" si="0"/>
        <v>485639</v>
      </c>
      <c r="D42" s="49">
        <f t="shared" si="1"/>
        <v>344911.4</v>
      </c>
      <c r="E42" s="49"/>
      <c r="F42" s="49"/>
      <c r="G42" s="49">
        <f t="shared" si="2"/>
        <v>415275</v>
      </c>
      <c r="H42" s="49"/>
      <c r="I42" s="49">
        <f t="shared" si="3"/>
        <v>415275.2</v>
      </c>
      <c r="J42" s="49">
        <f t="shared" si="4"/>
        <v>0</v>
      </c>
      <c r="K42" s="49">
        <f t="shared" si="5"/>
        <v>0</v>
      </c>
      <c r="L42" s="49">
        <f t="shared" si="6"/>
        <v>0</v>
      </c>
      <c r="M42" s="49">
        <f t="shared" si="7"/>
        <v>0</v>
      </c>
      <c r="N42" s="49"/>
      <c r="O42" s="49">
        <v>485639</v>
      </c>
      <c r="P42" s="49">
        <v>0</v>
      </c>
      <c r="Q42" s="49">
        <v>0</v>
      </c>
      <c r="R42" s="49">
        <v>0</v>
      </c>
      <c r="S42" s="49"/>
      <c r="T42" s="49"/>
      <c r="U42" s="49">
        <v>344911.4</v>
      </c>
      <c r="V42" s="49">
        <v>0</v>
      </c>
      <c r="W42" s="49">
        <v>0</v>
      </c>
      <c r="X42" s="49">
        <v>0</v>
      </c>
      <c r="Y42" s="49">
        <v>0</v>
      </c>
      <c r="Z42" s="49"/>
    </row>
    <row r="43" spans="1:26" ht="12.75">
      <c r="A43" s="51">
        <f t="shared" si="8"/>
        <v>27</v>
      </c>
      <c r="B43" s="49" t="s">
        <v>164</v>
      </c>
      <c r="C43" s="49">
        <f t="shared" si="0"/>
        <v>-55705.3</v>
      </c>
      <c r="D43" s="49">
        <f t="shared" si="1"/>
        <v>171471.69</v>
      </c>
      <c r="E43" s="49"/>
      <c r="F43" s="49"/>
      <c r="G43" s="49">
        <f t="shared" si="2"/>
        <v>57883</v>
      </c>
      <c r="H43" s="49"/>
      <c r="I43" s="49">
        <f t="shared" si="3"/>
        <v>57883.195</v>
      </c>
      <c r="J43" s="49">
        <f t="shared" si="4"/>
        <v>0</v>
      </c>
      <c r="K43" s="49">
        <f t="shared" si="5"/>
        <v>0</v>
      </c>
      <c r="L43" s="49">
        <f t="shared" si="6"/>
        <v>0</v>
      </c>
      <c r="M43" s="49">
        <f t="shared" si="7"/>
        <v>0</v>
      </c>
      <c r="N43" s="49"/>
      <c r="O43" s="49">
        <v>-55705.3</v>
      </c>
      <c r="P43" s="49">
        <v>0</v>
      </c>
      <c r="Q43" s="49">
        <v>0</v>
      </c>
      <c r="R43" s="49">
        <v>0</v>
      </c>
      <c r="S43" s="49"/>
      <c r="T43" s="49"/>
      <c r="U43" s="49">
        <v>171471.69</v>
      </c>
      <c r="V43" s="49">
        <v>0</v>
      </c>
      <c r="W43" s="49">
        <v>0</v>
      </c>
      <c r="X43" s="49">
        <v>0</v>
      </c>
      <c r="Y43" s="49">
        <v>0</v>
      </c>
      <c r="Z43" s="49"/>
    </row>
    <row r="44" spans="1:26" ht="12.75">
      <c r="A44" s="51">
        <f t="shared" si="8"/>
        <v>28</v>
      </c>
      <c r="B44" s="49" t="s">
        <v>339</v>
      </c>
      <c r="C44" s="49">
        <f t="shared" si="0"/>
        <v>0</v>
      </c>
      <c r="D44" s="49">
        <f t="shared" si="1"/>
        <v>0</v>
      </c>
      <c r="E44" s="49"/>
      <c r="F44" s="49"/>
      <c r="G44" s="49">
        <f t="shared" si="2"/>
        <v>0</v>
      </c>
      <c r="H44" s="49"/>
      <c r="I44" s="49">
        <f t="shared" si="3"/>
        <v>0</v>
      </c>
      <c r="J44" s="49">
        <f t="shared" si="4"/>
        <v>0</v>
      </c>
      <c r="K44" s="49">
        <f t="shared" si="5"/>
        <v>0</v>
      </c>
      <c r="L44" s="49">
        <f t="shared" si="6"/>
        <v>0</v>
      </c>
      <c r="M44" s="49">
        <f t="shared" si="7"/>
        <v>0</v>
      </c>
      <c r="N44" s="49"/>
      <c r="O44" s="49">
        <v>0</v>
      </c>
      <c r="P44" s="49">
        <v>0</v>
      </c>
      <c r="Q44" s="49">
        <v>0</v>
      </c>
      <c r="R44" s="49">
        <v>0</v>
      </c>
      <c r="S44" s="49"/>
      <c r="T44" s="49"/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/>
    </row>
    <row r="45" spans="1:26" ht="12.75">
      <c r="A45" s="51">
        <f t="shared" si="8"/>
        <v>29</v>
      </c>
      <c r="B45" s="49" t="s">
        <v>165</v>
      </c>
      <c r="C45" s="49">
        <f t="shared" si="0"/>
        <v>9311617.24</v>
      </c>
      <c r="D45" s="49">
        <f t="shared" si="1"/>
        <v>6542675.65</v>
      </c>
      <c r="E45" s="49"/>
      <c r="F45" s="49"/>
      <c r="G45" s="49">
        <f t="shared" si="2"/>
        <v>7927146</v>
      </c>
      <c r="H45" s="49"/>
      <c r="I45" s="49">
        <f t="shared" si="3"/>
        <v>966795</v>
      </c>
      <c r="J45" s="49">
        <f t="shared" si="4"/>
        <v>5589942.66</v>
      </c>
      <c r="K45" s="49">
        <f t="shared" si="5"/>
        <v>76571.155</v>
      </c>
      <c r="L45" s="49">
        <f t="shared" si="6"/>
        <v>1293837.63</v>
      </c>
      <c r="M45" s="49">
        <f t="shared" si="7"/>
        <v>0</v>
      </c>
      <c r="N45" s="49"/>
      <c r="O45" s="49">
        <v>921572.35</v>
      </c>
      <c r="P45" s="49">
        <v>6610668.49</v>
      </c>
      <c r="Q45" s="49">
        <v>178980.64</v>
      </c>
      <c r="R45" s="49">
        <v>1600395.76</v>
      </c>
      <c r="S45" s="49"/>
      <c r="T45" s="49"/>
      <c r="U45" s="49">
        <v>1012017.65</v>
      </c>
      <c r="V45" s="49">
        <v>4569216.83</v>
      </c>
      <c r="W45" s="49">
        <v>-25838.33</v>
      </c>
      <c r="X45" s="49">
        <v>987279.5</v>
      </c>
      <c r="Y45" s="49">
        <v>0</v>
      </c>
      <c r="Z45" s="49"/>
    </row>
    <row r="46" spans="1:26" ht="12.75">
      <c r="A46" s="51">
        <f t="shared" si="8"/>
        <v>30</v>
      </c>
      <c r="B46" s="49" t="s">
        <v>340</v>
      </c>
      <c r="C46" s="49">
        <f t="shared" si="0"/>
        <v>2695561.45</v>
      </c>
      <c r="D46" s="49">
        <f t="shared" si="1"/>
        <v>200211.38</v>
      </c>
      <c r="E46" s="49"/>
      <c r="F46" s="49"/>
      <c r="G46" s="49">
        <f t="shared" si="2"/>
        <v>1447886</v>
      </c>
      <c r="H46" s="49"/>
      <c r="I46" s="49">
        <f t="shared" si="3"/>
        <v>1447886.415</v>
      </c>
      <c r="J46" s="49">
        <f t="shared" si="4"/>
        <v>0</v>
      </c>
      <c r="K46" s="49">
        <f t="shared" si="5"/>
        <v>0</v>
      </c>
      <c r="L46" s="49">
        <f t="shared" si="6"/>
        <v>0</v>
      </c>
      <c r="M46" s="49">
        <f t="shared" si="7"/>
        <v>0</v>
      </c>
      <c r="N46" s="49"/>
      <c r="O46" s="49">
        <v>2695561.45</v>
      </c>
      <c r="P46" s="49">
        <v>0</v>
      </c>
      <c r="Q46" s="49">
        <v>0</v>
      </c>
      <c r="R46" s="49">
        <v>0</v>
      </c>
      <c r="S46" s="49"/>
      <c r="T46" s="49"/>
      <c r="U46" s="49">
        <v>200211.38</v>
      </c>
      <c r="V46" s="49">
        <v>0</v>
      </c>
      <c r="W46" s="49">
        <v>0</v>
      </c>
      <c r="X46" s="49">
        <v>0</v>
      </c>
      <c r="Y46" s="49">
        <v>0</v>
      </c>
      <c r="Z46" s="49"/>
    </row>
    <row r="47" spans="1:26" ht="12.75">
      <c r="A47" s="51">
        <f t="shared" si="8"/>
        <v>31</v>
      </c>
      <c r="B47" s="49" t="s">
        <v>167</v>
      </c>
      <c r="C47" s="49">
        <f t="shared" si="0"/>
        <v>4695670.880000001</v>
      </c>
      <c r="D47" s="49">
        <f t="shared" si="1"/>
        <v>4324467.1899999995</v>
      </c>
      <c r="E47" s="49"/>
      <c r="F47" s="49"/>
      <c r="G47" s="49">
        <f t="shared" si="2"/>
        <v>4510069</v>
      </c>
      <c r="H47" s="49"/>
      <c r="I47" s="49">
        <f t="shared" si="3"/>
        <v>826855.1100000001</v>
      </c>
      <c r="J47" s="49">
        <f t="shared" si="4"/>
        <v>2374795.635</v>
      </c>
      <c r="K47" s="49">
        <f t="shared" si="5"/>
        <v>236912.47999999998</v>
      </c>
      <c r="L47" s="49">
        <f t="shared" si="6"/>
        <v>1071505.81</v>
      </c>
      <c r="M47" s="49">
        <f t="shared" si="7"/>
        <v>0</v>
      </c>
      <c r="N47" s="49"/>
      <c r="O47" s="49">
        <v>894479.55</v>
      </c>
      <c r="P47" s="49">
        <v>2431986.43</v>
      </c>
      <c r="Q47" s="49">
        <v>249691.24</v>
      </c>
      <c r="R47" s="49">
        <v>1119513.66</v>
      </c>
      <c r="S47" s="49"/>
      <c r="T47" s="49"/>
      <c r="U47" s="49">
        <v>759230.67</v>
      </c>
      <c r="V47" s="49">
        <v>2317604.84</v>
      </c>
      <c r="W47" s="49">
        <v>224133.72</v>
      </c>
      <c r="X47" s="49">
        <v>1023497.96</v>
      </c>
      <c r="Y47" s="49">
        <v>0</v>
      </c>
      <c r="Z47" s="49"/>
    </row>
    <row r="48" spans="1:26" ht="12.75">
      <c r="A48" s="51">
        <f t="shared" si="8"/>
        <v>32</v>
      </c>
      <c r="B48" s="49" t="s">
        <v>341</v>
      </c>
      <c r="C48" s="49">
        <f t="shared" si="0"/>
        <v>943721.18</v>
      </c>
      <c r="D48" s="49">
        <f t="shared" si="1"/>
        <v>3570000</v>
      </c>
      <c r="E48" s="49"/>
      <c r="F48" s="49"/>
      <c r="G48" s="49">
        <f t="shared" si="2"/>
        <v>2256861</v>
      </c>
      <c r="H48" s="49"/>
      <c r="I48" s="49">
        <f t="shared" si="3"/>
        <v>2256860.59</v>
      </c>
      <c r="J48" s="49">
        <f t="shared" si="4"/>
        <v>0</v>
      </c>
      <c r="K48" s="49">
        <f t="shared" si="5"/>
        <v>0</v>
      </c>
      <c r="L48" s="49">
        <f t="shared" si="6"/>
        <v>0</v>
      </c>
      <c r="M48" s="49">
        <f t="shared" si="7"/>
        <v>0</v>
      </c>
      <c r="N48" s="49"/>
      <c r="O48" s="49">
        <v>943721.18</v>
      </c>
      <c r="P48" s="49">
        <v>0</v>
      </c>
      <c r="Q48" s="49">
        <v>0</v>
      </c>
      <c r="R48" s="49">
        <v>0</v>
      </c>
      <c r="S48" s="49"/>
      <c r="T48" s="49"/>
      <c r="U48" s="49">
        <v>3570000</v>
      </c>
      <c r="V48" s="49">
        <v>0</v>
      </c>
      <c r="W48" s="49">
        <v>0</v>
      </c>
      <c r="X48" s="49">
        <v>0</v>
      </c>
      <c r="Y48" s="49">
        <v>0</v>
      </c>
      <c r="Z48" s="49"/>
    </row>
    <row r="49" spans="1:26" ht="12.75">
      <c r="A49" s="51">
        <f t="shared" si="8"/>
        <v>33</v>
      </c>
      <c r="B49" s="49" t="s">
        <v>342</v>
      </c>
      <c r="C49" s="49">
        <f aca="true" t="shared" si="9" ref="C49:C80">SUM(O49:S49)</f>
        <v>0</v>
      </c>
      <c r="D49" s="49">
        <f aca="true" t="shared" si="10" ref="D49:D80">SUM(U49:Y49)</f>
        <v>3500000.25</v>
      </c>
      <c r="E49" s="49"/>
      <c r="F49" s="49"/>
      <c r="G49" s="49">
        <f aca="true" t="shared" si="11" ref="G49:G80">ROUND(SUM(C49:F49)/2,0)</f>
        <v>1750000</v>
      </c>
      <c r="H49" s="49"/>
      <c r="I49" s="49">
        <f aca="true" t="shared" si="12" ref="I49:I80">(+O49+U49)/2</f>
        <v>0</v>
      </c>
      <c r="J49" s="49">
        <f aca="true" t="shared" si="13" ref="J49:J80">(+P49+V49)/2</f>
        <v>0.125</v>
      </c>
      <c r="K49" s="49">
        <f aca="true" t="shared" si="14" ref="K49:K80">(+Q49+W49)/2</f>
        <v>0</v>
      </c>
      <c r="L49" s="49">
        <f aca="true" t="shared" si="15" ref="L49:L80">(+R49+X49)/2</f>
        <v>1750000</v>
      </c>
      <c r="M49" s="49">
        <f aca="true" t="shared" si="16" ref="M49:M80">(+S49+Y49)/2</f>
        <v>0</v>
      </c>
      <c r="N49" s="49"/>
      <c r="O49" s="49">
        <v>0</v>
      </c>
      <c r="P49" s="49">
        <v>0</v>
      </c>
      <c r="Q49" s="49">
        <v>0</v>
      </c>
      <c r="R49" s="49">
        <v>0</v>
      </c>
      <c r="S49" s="49"/>
      <c r="T49" s="49"/>
      <c r="U49" s="49">
        <v>0</v>
      </c>
      <c r="V49" s="49">
        <v>0.25</v>
      </c>
      <c r="W49" s="49">
        <v>0</v>
      </c>
      <c r="X49" s="49">
        <v>3500000</v>
      </c>
      <c r="Y49" s="49">
        <v>0</v>
      </c>
      <c r="Z49" s="49"/>
    </row>
    <row r="50" spans="1:26" ht="12.75">
      <c r="A50" s="51">
        <f aca="true" t="shared" si="17" ref="A50:A81">A49+1</f>
        <v>34</v>
      </c>
      <c r="B50" s="49" t="s">
        <v>168</v>
      </c>
      <c r="C50" s="49">
        <f t="shared" si="9"/>
        <v>-57336.14</v>
      </c>
      <c r="D50" s="49">
        <f t="shared" si="10"/>
        <v>0.4</v>
      </c>
      <c r="E50" s="49"/>
      <c r="F50" s="49"/>
      <c r="G50" s="49">
        <f t="shared" si="11"/>
        <v>-28668</v>
      </c>
      <c r="H50" s="49"/>
      <c r="I50" s="49">
        <f t="shared" si="12"/>
        <v>0</v>
      </c>
      <c r="J50" s="49">
        <f t="shared" si="13"/>
        <v>-24925.915</v>
      </c>
      <c r="K50" s="49">
        <f t="shared" si="14"/>
        <v>0</v>
      </c>
      <c r="L50" s="49">
        <f t="shared" si="15"/>
        <v>-3741.9550000000004</v>
      </c>
      <c r="M50" s="49">
        <f t="shared" si="16"/>
        <v>0</v>
      </c>
      <c r="N50" s="49"/>
      <c r="O50" s="49">
        <v>0</v>
      </c>
      <c r="P50" s="49">
        <v>-49852.08</v>
      </c>
      <c r="Q50" s="49">
        <v>0</v>
      </c>
      <c r="R50" s="49">
        <v>-7484.06</v>
      </c>
      <c r="S50" s="49"/>
      <c r="T50" s="49"/>
      <c r="U50" s="49">
        <v>0</v>
      </c>
      <c r="V50" s="49">
        <v>0.25</v>
      </c>
      <c r="W50" s="49">
        <v>0</v>
      </c>
      <c r="X50" s="49">
        <v>0.15</v>
      </c>
      <c r="Y50" s="49">
        <v>0</v>
      </c>
      <c r="Z50" s="49"/>
    </row>
    <row r="51" spans="1:26" ht="12.75">
      <c r="A51" s="51">
        <f t="shared" si="17"/>
        <v>35</v>
      </c>
      <c r="B51" s="49" t="s">
        <v>343</v>
      </c>
      <c r="C51" s="49">
        <f t="shared" si="9"/>
        <v>875000</v>
      </c>
      <c r="D51" s="49">
        <f t="shared" si="10"/>
        <v>0</v>
      </c>
      <c r="E51" s="49"/>
      <c r="F51" s="49"/>
      <c r="G51" s="49">
        <f t="shared" si="11"/>
        <v>437500</v>
      </c>
      <c r="H51" s="49"/>
      <c r="I51" s="49">
        <f t="shared" si="12"/>
        <v>437500</v>
      </c>
      <c r="J51" s="49">
        <f t="shared" si="13"/>
        <v>0</v>
      </c>
      <c r="K51" s="49">
        <f t="shared" si="14"/>
        <v>0</v>
      </c>
      <c r="L51" s="49">
        <f t="shared" si="15"/>
        <v>0</v>
      </c>
      <c r="M51" s="49">
        <f t="shared" si="16"/>
        <v>0</v>
      </c>
      <c r="N51" s="49"/>
      <c r="O51" s="49">
        <v>875000</v>
      </c>
      <c r="P51" s="49">
        <v>0</v>
      </c>
      <c r="Q51" s="49">
        <v>0</v>
      </c>
      <c r="R51" s="49">
        <v>0</v>
      </c>
      <c r="S51" s="49"/>
      <c r="T51" s="49"/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/>
    </row>
    <row r="52" spans="1:26" ht="12.75">
      <c r="A52" s="51">
        <f t="shared" si="17"/>
        <v>36</v>
      </c>
      <c r="B52" s="49" t="s">
        <v>344</v>
      </c>
      <c r="C52" s="49">
        <f t="shared" si="9"/>
        <v>-1.2999999999999998</v>
      </c>
      <c r="D52" s="49">
        <f t="shared" si="10"/>
        <v>302762.69999999995</v>
      </c>
      <c r="E52" s="49"/>
      <c r="F52" s="49"/>
      <c r="G52" s="49">
        <f t="shared" si="11"/>
        <v>151381</v>
      </c>
      <c r="H52" s="49"/>
      <c r="I52" s="49">
        <f t="shared" si="12"/>
        <v>0</v>
      </c>
      <c r="J52" s="49">
        <f t="shared" si="13"/>
        <v>-1</v>
      </c>
      <c r="K52" s="49">
        <f t="shared" si="14"/>
        <v>-0.65</v>
      </c>
      <c r="L52" s="49">
        <f t="shared" si="15"/>
        <v>151382.34999999998</v>
      </c>
      <c r="M52" s="49">
        <f t="shared" si="16"/>
        <v>0</v>
      </c>
      <c r="N52" s="49"/>
      <c r="O52" s="49">
        <v>0</v>
      </c>
      <c r="P52" s="49">
        <v>-1</v>
      </c>
      <c r="Q52" s="49">
        <v>-0.65</v>
      </c>
      <c r="R52" s="49">
        <v>0.35</v>
      </c>
      <c r="S52" s="49"/>
      <c r="T52" s="49"/>
      <c r="U52" s="49">
        <v>0</v>
      </c>
      <c r="V52" s="49">
        <v>-1</v>
      </c>
      <c r="W52" s="49">
        <v>-0.65</v>
      </c>
      <c r="X52" s="49">
        <v>302764.35</v>
      </c>
      <c r="Y52" s="49">
        <v>0</v>
      </c>
      <c r="Z52" s="49"/>
    </row>
    <row r="53" spans="1:26" ht="12.75">
      <c r="A53" s="51">
        <f t="shared" si="17"/>
        <v>37</v>
      </c>
      <c r="B53" s="49" t="s">
        <v>345</v>
      </c>
      <c r="C53" s="49">
        <f t="shared" si="9"/>
        <v>21267.96</v>
      </c>
      <c r="D53" s="49">
        <f t="shared" si="10"/>
        <v>397464.39499999996</v>
      </c>
      <c r="E53" s="49"/>
      <c r="F53" s="49"/>
      <c r="G53" s="49">
        <f t="shared" si="11"/>
        <v>209366</v>
      </c>
      <c r="H53" s="49"/>
      <c r="I53" s="49">
        <f t="shared" si="12"/>
        <v>43379.4375</v>
      </c>
      <c r="J53" s="49">
        <f t="shared" si="13"/>
        <v>109411.92</v>
      </c>
      <c r="K53" s="49">
        <f t="shared" si="14"/>
        <v>4799.095</v>
      </c>
      <c r="L53" s="49">
        <f t="shared" si="15"/>
        <v>51775.725</v>
      </c>
      <c r="M53" s="49">
        <f t="shared" si="16"/>
        <v>0</v>
      </c>
      <c r="N53" s="49"/>
      <c r="O53" s="49">
        <v>0.65</v>
      </c>
      <c r="P53" s="49">
        <v>0</v>
      </c>
      <c r="Q53" s="49">
        <v>-0.1</v>
      </c>
      <c r="R53" s="49">
        <v>21267.41</v>
      </c>
      <c r="S53" s="49"/>
      <c r="T53" s="49"/>
      <c r="U53" s="49">
        <v>86758.225</v>
      </c>
      <c r="V53" s="49">
        <v>218823.84</v>
      </c>
      <c r="W53" s="49">
        <v>9598.29</v>
      </c>
      <c r="X53" s="49">
        <v>82284.04</v>
      </c>
      <c r="Y53" s="49">
        <v>0</v>
      </c>
      <c r="Z53" s="49"/>
    </row>
    <row r="54" spans="1:26" ht="12.75">
      <c r="A54" s="51">
        <f t="shared" si="17"/>
        <v>38</v>
      </c>
      <c r="B54" s="49" t="s">
        <v>346</v>
      </c>
      <c r="C54" s="49">
        <f t="shared" si="9"/>
        <v>1441061.65</v>
      </c>
      <c r="D54" s="49">
        <f t="shared" si="10"/>
        <v>0</v>
      </c>
      <c r="E54" s="49"/>
      <c r="F54" s="49"/>
      <c r="G54" s="49">
        <f t="shared" si="11"/>
        <v>720531</v>
      </c>
      <c r="H54" s="49"/>
      <c r="I54" s="49">
        <f t="shared" si="12"/>
        <v>0</v>
      </c>
      <c r="J54" s="49">
        <f t="shared" si="13"/>
        <v>0</v>
      </c>
      <c r="K54" s="49">
        <f t="shared" si="14"/>
        <v>0</v>
      </c>
      <c r="L54" s="49">
        <f t="shared" si="15"/>
        <v>720530.825</v>
      </c>
      <c r="M54" s="49">
        <f t="shared" si="16"/>
        <v>0</v>
      </c>
      <c r="N54" s="49"/>
      <c r="O54" s="49">
        <v>0</v>
      </c>
      <c r="P54" s="49">
        <v>0</v>
      </c>
      <c r="Q54" s="49">
        <v>0</v>
      </c>
      <c r="R54" s="49">
        <v>1441061.65</v>
      </c>
      <c r="S54" s="49"/>
      <c r="T54" s="49"/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/>
    </row>
    <row r="55" spans="1:26" ht="12.75">
      <c r="A55" s="51">
        <f t="shared" si="17"/>
        <v>39</v>
      </c>
      <c r="B55" s="49" t="s">
        <v>170</v>
      </c>
      <c r="C55" s="49">
        <f t="shared" si="9"/>
        <v>1.8800000000010186</v>
      </c>
      <c r="D55" s="49">
        <f t="shared" si="10"/>
        <v>1.88</v>
      </c>
      <c r="E55" s="49"/>
      <c r="F55" s="49"/>
      <c r="G55" s="49">
        <f t="shared" si="11"/>
        <v>2</v>
      </c>
      <c r="H55" s="49"/>
      <c r="I55" s="49">
        <f t="shared" si="12"/>
        <v>0.8999999999998181</v>
      </c>
      <c r="J55" s="49">
        <f t="shared" si="13"/>
        <v>1.2400000000008005</v>
      </c>
      <c r="K55" s="49">
        <f t="shared" si="14"/>
        <v>0.9899999999998909</v>
      </c>
      <c r="L55" s="49">
        <f t="shared" si="15"/>
        <v>-1.25</v>
      </c>
      <c r="M55" s="49">
        <f t="shared" si="16"/>
        <v>0</v>
      </c>
      <c r="N55" s="49"/>
      <c r="O55" s="49">
        <f>-8941.1+8942</f>
        <v>0.8999999999996362</v>
      </c>
      <c r="P55" s="49">
        <f>-17881.76+17883</f>
        <v>1.2400000000016007</v>
      </c>
      <c r="Q55" s="49">
        <f>-8941.01+8942</f>
        <v>0.9899999999997817</v>
      </c>
      <c r="R55" s="49">
        <f>-8943.25+8942</f>
        <v>-1.25</v>
      </c>
      <c r="S55" s="49"/>
      <c r="T55" s="49"/>
      <c r="U55" s="49">
        <v>0.9</v>
      </c>
      <c r="V55" s="49">
        <v>1.24</v>
      </c>
      <c r="W55" s="49">
        <v>0.99</v>
      </c>
      <c r="X55" s="49">
        <v>-1.25</v>
      </c>
      <c r="Y55" s="49">
        <v>0</v>
      </c>
      <c r="Z55" s="49"/>
    </row>
    <row r="56" spans="1:26" ht="12.75">
      <c r="A56" s="51">
        <f t="shared" si="17"/>
        <v>40</v>
      </c>
      <c r="B56" s="49" t="s">
        <v>347</v>
      </c>
      <c r="C56" s="49">
        <f t="shared" si="9"/>
        <v>47644</v>
      </c>
      <c r="D56" s="49">
        <f t="shared" si="10"/>
        <v>-57898.5</v>
      </c>
      <c r="E56" s="49"/>
      <c r="F56" s="49"/>
      <c r="G56" s="49">
        <f t="shared" si="11"/>
        <v>-5127</v>
      </c>
      <c r="H56" s="49"/>
      <c r="I56" s="49">
        <f t="shared" si="12"/>
        <v>-208643.90000000002</v>
      </c>
      <c r="J56" s="49">
        <f t="shared" si="13"/>
        <v>75774.29999999999</v>
      </c>
      <c r="K56" s="49">
        <f t="shared" si="14"/>
        <v>29036.425</v>
      </c>
      <c r="L56" s="49">
        <f t="shared" si="15"/>
        <v>98705.925</v>
      </c>
      <c r="M56" s="49">
        <f t="shared" si="16"/>
        <v>0</v>
      </c>
      <c r="N56" s="49"/>
      <c r="O56" s="49">
        <f>-181861.4+41947</f>
        <v>-139914.4</v>
      </c>
      <c r="P56" s="49">
        <f>83940.15+83895</f>
        <v>167835.15</v>
      </c>
      <c r="Q56" s="49">
        <f>-34429.15+42086</f>
        <v>7656.8499999999985</v>
      </c>
      <c r="R56" s="49">
        <f>-33850.6+45917</f>
        <v>12066.400000000001</v>
      </c>
      <c r="S56" s="49"/>
      <c r="T56" s="49"/>
      <c r="U56" s="49">
        <f>-319320.4+41947</f>
        <v>-277373.4</v>
      </c>
      <c r="V56" s="49">
        <f>-100181.55+83895</f>
        <v>-16286.550000000003</v>
      </c>
      <c r="W56" s="49">
        <f>8330+42086</f>
        <v>50416</v>
      </c>
      <c r="X56" s="49">
        <f>139428.45+45917</f>
        <v>185345.45</v>
      </c>
      <c r="Y56" s="49">
        <v>0</v>
      </c>
      <c r="Z56" s="49"/>
    </row>
    <row r="57" spans="1:26" ht="12.75">
      <c r="A57" s="51">
        <f t="shared" si="17"/>
        <v>41</v>
      </c>
      <c r="B57" s="49" t="s">
        <v>348</v>
      </c>
      <c r="C57" s="49">
        <f t="shared" si="9"/>
        <v>-228558.04999999993</v>
      </c>
      <c r="D57" s="49">
        <f t="shared" si="10"/>
        <v>-1371545.7</v>
      </c>
      <c r="E57" s="49"/>
      <c r="F57" s="49"/>
      <c r="G57" s="49">
        <f t="shared" si="11"/>
        <v>-800052</v>
      </c>
      <c r="H57" s="49"/>
      <c r="I57" s="49">
        <f t="shared" si="12"/>
        <v>-308777.52499999997</v>
      </c>
      <c r="J57" s="49">
        <f t="shared" si="13"/>
        <v>-529194.2250000001</v>
      </c>
      <c r="K57" s="49">
        <f t="shared" si="14"/>
        <v>17282.65000000001</v>
      </c>
      <c r="L57" s="49">
        <f t="shared" si="15"/>
        <v>20637.225000000006</v>
      </c>
      <c r="M57" s="49">
        <f t="shared" si="16"/>
        <v>0</v>
      </c>
      <c r="N57" s="49"/>
      <c r="O57" s="49">
        <f>-479558.1+242011</f>
        <v>-237547.09999999998</v>
      </c>
      <c r="P57" s="49">
        <f>-685265.35+484022</f>
        <v>-201243.34999999998</v>
      </c>
      <c r="Q57" s="49">
        <f>-224925.05+242011</f>
        <v>17085.95000000001</v>
      </c>
      <c r="R57" s="49">
        <f>-48864.55+242011</f>
        <v>193146.45</v>
      </c>
      <c r="S57" s="49"/>
      <c r="T57" s="49"/>
      <c r="U57" s="49">
        <f>-622018.95+242011</f>
        <v>-380007.94999999995</v>
      </c>
      <c r="V57" s="49">
        <f>-1341167.1+484022</f>
        <v>-857145.1000000001</v>
      </c>
      <c r="W57" s="49">
        <f>-224531.65+242011</f>
        <v>17479.350000000006</v>
      </c>
      <c r="X57" s="49">
        <f>-393883+242011</f>
        <v>-151872</v>
      </c>
      <c r="Y57" s="49">
        <v>0</v>
      </c>
      <c r="Z57" s="49"/>
    </row>
    <row r="58" spans="1:26" ht="12.75">
      <c r="A58" s="51">
        <f t="shared" si="17"/>
        <v>42</v>
      </c>
      <c r="B58" s="49" t="s">
        <v>173</v>
      </c>
      <c r="C58" s="49">
        <f t="shared" si="9"/>
        <v>-27278.85</v>
      </c>
      <c r="D58" s="49">
        <f t="shared" si="10"/>
        <v>-249097.91</v>
      </c>
      <c r="E58" s="49"/>
      <c r="F58" s="49"/>
      <c r="G58" s="49">
        <f t="shared" si="11"/>
        <v>-138188</v>
      </c>
      <c r="H58" s="49"/>
      <c r="I58" s="49">
        <f t="shared" si="12"/>
        <v>-27278.85</v>
      </c>
      <c r="J58" s="49">
        <f t="shared" si="13"/>
        <v>82358.92</v>
      </c>
      <c r="K58" s="49">
        <f t="shared" si="14"/>
        <v>-214858.65</v>
      </c>
      <c r="L58" s="49">
        <f t="shared" si="15"/>
        <v>21590.2</v>
      </c>
      <c r="M58" s="49">
        <f t="shared" si="16"/>
        <v>0</v>
      </c>
      <c r="N58" s="49"/>
      <c r="O58" s="49">
        <v>-27278.85</v>
      </c>
      <c r="P58" s="49">
        <v>0</v>
      </c>
      <c r="Q58" s="49">
        <v>0</v>
      </c>
      <c r="R58" s="49">
        <v>0</v>
      </c>
      <c r="S58" s="49"/>
      <c r="T58" s="49"/>
      <c r="U58" s="49">
        <v>-27278.85</v>
      </c>
      <c r="V58" s="49">
        <v>164717.84</v>
      </c>
      <c r="W58" s="49">
        <v>-429717.3</v>
      </c>
      <c r="X58" s="49">
        <v>43180.4</v>
      </c>
      <c r="Y58" s="49">
        <v>0</v>
      </c>
      <c r="Z58" s="49"/>
    </row>
    <row r="59" spans="1:26" ht="12.75">
      <c r="A59" s="51">
        <f t="shared" si="17"/>
        <v>43</v>
      </c>
      <c r="B59" s="49" t="s">
        <v>175</v>
      </c>
      <c r="C59" s="49">
        <f t="shared" si="9"/>
        <v>0.5</v>
      </c>
      <c r="D59" s="49">
        <f t="shared" si="10"/>
        <v>0.5</v>
      </c>
      <c r="E59" s="49"/>
      <c r="F59" s="49"/>
      <c r="G59" s="49">
        <f t="shared" si="11"/>
        <v>1</v>
      </c>
      <c r="H59" s="49"/>
      <c r="I59" s="49">
        <f t="shared" si="12"/>
        <v>0</v>
      </c>
      <c r="J59" s="49">
        <f t="shared" si="13"/>
        <v>0</v>
      </c>
      <c r="K59" s="49">
        <f t="shared" si="14"/>
        <v>0.5</v>
      </c>
      <c r="L59" s="49">
        <f t="shared" si="15"/>
        <v>0</v>
      </c>
      <c r="M59" s="49">
        <f t="shared" si="16"/>
        <v>0</v>
      </c>
      <c r="N59" s="49"/>
      <c r="O59" s="49">
        <v>0</v>
      </c>
      <c r="P59" s="49">
        <v>0</v>
      </c>
      <c r="Q59" s="49">
        <v>0.5</v>
      </c>
      <c r="R59" s="49">
        <v>0</v>
      </c>
      <c r="S59" s="49"/>
      <c r="T59" s="49"/>
      <c r="U59" s="49">
        <v>0</v>
      </c>
      <c r="V59" s="49">
        <v>0</v>
      </c>
      <c r="W59" s="49">
        <v>0.5</v>
      </c>
      <c r="X59" s="49">
        <v>0</v>
      </c>
      <c r="Y59" s="49">
        <v>0</v>
      </c>
      <c r="Z59" s="49"/>
    </row>
    <row r="60" spans="1:26" ht="12.75">
      <c r="A60" s="51">
        <f t="shared" si="17"/>
        <v>44</v>
      </c>
      <c r="B60" s="49" t="s">
        <v>174</v>
      </c>
      <c r="C60" s="49">
        <f t="shared" si="9"/>
        <v>1493.43</v>
      </c>
      <c r="D60" s="49">
        <f t="shared" si="10"/>
        <v>-0.08</v>
      </c>
      <c r="E60" s="49"/>
      <c r="F60" s="49"/>
      <c r="G60" s="49">
        <f t="shared" si="11"/>
        <v>747</v>
      </c>
      <c r="H60" s="49"/>
      <c r="I60" s="49">
        <f t="shared" si="12"/>
        <v>746.6750000000001</v>
      </c>
      <c r="J60" s="49">
        <f t="shared" si="13"/>
        <v>0</v>
      </c>
      <c r="K60" s="49">
        <f t="shared" si="14"/>
        <v>0</v>
      </c>
      <c r="L60" s="49">
        <f t="shared" si="15"/>
        <v>0</v>
      </c>
      <c r="M60" s="49">
        <f t="shared" si="16"/>
        <v>0</v>
      </c>
      <c r="N60" s="49"/>
      <c r="O60" s="49">
        <v>1493.43</v>
      </c>
      <c r="P60" s="49">
        <v>0</v>
      </c>
      <c r="Q60" s="49">
        <v>0</v>
      </c>
      <c r="R60" s="49">
        <v>0</v>
      </c>
      <c r="S60" s="49"/>
      <c r="T60" s="49"/>
      <c r="U60" s="49">
        <v>-0.08</v>
      </c>
      <c r="V60" s="49">
        <v>0</v>
      </c>
      <c r="W60" s="49">
        <v>0</v>
      </c>
      <c r="X60" s="49">
        <v>0</v>
      </c>
      <c r="Y60" s="49">
        <v>0</v>
      </c>
      <c r="Z60" s="49"/>
    </row>
    <row r="61" spans="1:26" ht="12.75">
      <c r="A61" s="51">
        <f t="shared" si="17"/>
        <v>45</v>
      </c>
      <c r="B61" s="49" t="s">
        <v>177</v>
      </c>
      <c r="C61" s="49">
        <f t="shared" si="9"/>
        <v>1312071.21</v>
      </c>
      <c r="D61" s="49">
        <f t="shared" si="10"/>
        <v>1513089</v>
      </c>
      <c r="E61" s="49"/>
      <c r="F61" s="49"/>
      <c r="G61" s="49">
        <f t="shared" si="11"/>
        <v>1412580</v>
      </c>
      <c r="H61" s="49"/>
      <c r="I61" s="49">
        <f t="shared" si="12"/>
        <v>1412580.105</v>
      </c>
      <c r="J61" s="49">
        <f t="shared" si="13"/>
        <v>0</v>
      </c>
      <c r="K61" s="49">
        <f t="shared" si="14"/>
        <v>0</v>
      </c>
      <c r="L61" s="49">
        <f t="shared" si="15"/>
        <v>0</v>
      </c>
      <c r="M61" s="49">
        <f t="shared" si="16"/>
        <v>0</v>
      </c>
      <c r="N61" s="49"/>
      <c r="O61" s="49">
        <v>1312071.21</v>
      </c>
      <c r="P61" s="49">
        <v>0</v>
      </c>
      <c r="Q61" s="49">
        <v>0</v>
      </c>
      <c r="R61" s="49">
        <v>0</v>
      </c>
      <c r="S61" s="49"/>
      <c r="T61" s="49"/>
      <c r="U61" s="49">
        <v>1513089</v>
      </c>
      <c r="V61" s="49">
        <v>0</v>
      </c>
      <c r="W61" s="49">
        <v>0</v>
      </c>
      <c r="X61" s="49">
        <v>0</v>
      </c>
      <c r="Y61" s="49">
        <v>0</v>
      </c>
      <c r="Z61" s="49"/>
    </row>
    <row r="62" spans="1:26" ht="12.75">
      <c r="A62" s="51">
        <f t="shared" si="17"/>
        <v>46</v>
      </c>
      <c r="B62" s="49" t="s">
        <v>349</v>
      </c>
      <c r="C62" s="49">
        <f t="shared" si="9"/>
        <v>553120.21</v>
      </c>
      <c r="D62" s="49">
        <f t="shared" si="10"/>
        <v>740561.86</v>
      </c>
      <c r="E62" s="49"/>
      <c r="F62" s="49"/>
      <c r="G62" s="49">
        <f t="shared" si="11"/>
        <v>646841</v>
      </c>
      <c r="H62" s="49"/>
      <c r="I62" s="49">
        <f t="shared" si="12"/>
        <v>646841.0349999999</v>
      </c>
      <c r="J62" s="49">
        <f t="shared" si="13"/>
        <v>0</v>
      </c>
      <c r="K62" s="49">
        <f t="shared" si="14"/>
        <v>0</v>
      </c>
      <c r="L62" s="49">
        <f t="shared" si="15"/>
        <v>0</v>
      </c>
      <c r="M62" s="49">
        <f t="shared" si="16"/>
        <v>0</v>
      </c>
      <c r="N62" s="49"/>
      <c r="O62" s="49">
        <v>553120.21</v>
      </c>
      <c r="P62" s="49">
        <v>0</v>
      </c>
      <c r="Q62" s="49">
        <v>0</v>
      </c>
      <c r="R62" s="49">
        <v>0</v>
      </c>
      <c r="S62" s="49"/>
      <c r="T62" s="49"/>
      <c r="U62" s="49">
        <v>740561.86</v>
      </c>
      <c r="V62" s="49">
        <v>0</v>
      </c>
      <c r="W62" s="49">
        <v>0</v>
      </c>
      <c r="X62" s="49">
        <v>0</v>
      </c>
      <c r="Y62" s="49">
        <v>0</v>
      </c>
      <c r="Z62" s="49"/>
    </row>
    <row r="63" spans="1:26" ht="12.75">
      <c r="A63" s="51">
        <f t="shared" si="17"/>
        <v>47</v>
      </c>
      <c r="B63" s="49" t="s">
        <v>350</v>
      </c>
      <c r="C63" s="49">
        <f t="shared" si="9"/>
        <v>-97024.2</v>
      </c>
      <c r="D63" s="49">
        <f t="shared" si="10"/>
        <v>-0.95</v>
      </c>
      <c r="E63" s="49"/>
      <c r="F63" s="49"/>
      <c r="G63" s="49">
        <f t="shared" si="11"/>
        <v>-48513</v>
      </c>
      <c r="H63" s="49"/>
      <c r="I63" s="49">
        <f t="shared" si="12"/>
        <v>0</v>
      </c>
      <c r="J63" s="49">
        <f t="shared" si="13"/>
        <v>0</v>
      </c>
      <c r="K63" s="49">
        <f t="shared" si="14"/>
        <v>0</v>
      </c>
      <c r="L63" s="49">
        <f t="shared" si="15"/>
        <v>-48512.575</v>
      </c>
      <c r="M63" s="49">
        <f t="shared" si="16"/>
        <v>0</v>
      </c>
      <c r="N63" s="49"/>
      <c r="O63" s="49">
        <v>0</v>
      </c>
      <c r="P63" s="49">
        <v>0</v>
      </c>
      <c r="Q63" s="49">
        <v>0</v>
      </c>
      <c r="R63" s="49">
        <v>-97024.2</v>
      </c>
      <c r="S63" s="49"/>
      <c r="T63" s="49"/>
      <c r="U63" s="49">
        <v>0</v>
      </c>
      <c r="V63" s="49">
        <v>0</v>
      </c>
      <c r="W63" s="49">
        <v>0</v>
      </c>
      <c r="X63" s="49">
        <v>-0.95</v>
      </c>
      <c r="Y63" s="49">
        <v>0</v>
      </c>
      <c r="Z63" s="49"/>
    </row>
    <row r="64" spans="1:26" ht="12.75">
      <c r="A64" s="51">
        <f t="shared" si="17"/>
        <v>48</v>
      </c>
      <c r="B64" s="49" t="s">
        <v>181</v>
      </c>
      <c r="C64" s="49">
        <f t="shared" si="9"/>
        <v>221216.23</v>
      </c>
      <c r="D64" s="49">
        <f t="shared" si="10"/>
        <v>201341.55</v>
      </c>
      <c r="E64" s="49"/>
      <c r="F64" s="49"/>
      <c r="G64" s="49">
        <f t="shared" si="11"/>
        <v>211279</v>
      </c>
      <c r="H64" s="49"/>
      <c r="I64" s="49">
        <f t="shared" si="12"/>
        <v>0</v>
      </c>
      <c r="J64" s="49">
        <f t="shared" si="13"/>
        <v>0</v>
      </c>
      <c r="K64" s="49">
        <f t="shared" si="14"/>
        <v>211278.89</v>
      </c>
      <c r="L64" s="49">
        <f t="shared" si="15"/>
        <v>0</v>
      </c>
      <c r="M64" s="49">
        <f t="shared" si="16"/>
        <v>0</v>
      </c>
      <c r="N64" s="49"/>
      <c r="O64" s="49">
        <v>0</v>
      </c>
      <c r="P64" s="49">
        <v>0</v>
      </c>
      <c r="Q64" s="49">
        <v>221216.23</v>
      </c>
      <c r="R64" s="49">
        <v>0</v>
      </c>
      <c r="S64" s="49"/>
      <c r="T64" s="49"/>
      <c r="U64" s="49">
        <v>0</v>
      </c>
      <c r="V64" s="49">
        <v>0</v>
      </c>
      <c r="W64" s="49">
        <v>201341.55</v>
      </c>
      <c r="X64" s="49">
        <v>0</v>
      </c>
      <c r="Y64" s="49">
        <v>0</v>
      </c>
      <c r="Z64" s="49"/>
    </row>
    <row r="65" spans="1:26" ht="12.75">
      <c r="A65" s="51">
        <f t="shared" si="17"/>
        <v>49</v>
      </c>
      <c r="B65" s="49" t="s">
        <v>351</v>
      </c>
      <c r="C65" s="49">
        <f t="shared" si="9"/>
        <v>-0.05</v>
      </c>
      <c r="D65" s="49">
        <f t="shared" si="10"/>
        <v>-0.05</v>
      </c>
      <c r="E65" s="49"/>
      <c r="F65" s="49"/>
      <c r="G65" s="49">
        <f t="shared" si="11"/>
        <v>0</v>
      </c>
      <c r="H65" s="49"/>
      <c r="I65" s="49">
        <f t="shared" si="12"/>
        <v>-0.05</v>
      </c>
      <c r="J65" s="49">
        <f t="shared" si="13"/>
        <v>0</v>
      </c>
      <c r="K65" s="49">
        <f t="shared" si="14"/>
        <v>0</v>
      </c>
      <c r="L65" s="49">
        <f t="shared" si="15"/>
        <v>0</v>
      </c>
      <c r="M65" s="49">
        <f t="shared" si="16"/>
        <v>0</v>
      </c>
      <c r="N65" s="49"/>
      <c r="O65" s="49">
        <v>-0.05</v>
      </c>
      <c r="P65" s="49">
        <v>0</v>
      </c>
      <c r="Q65" s="49">
        <v>0</v>
      </c>
      <c r="R65" s="49">
        <v>0</v>
      </c>
      <c r="S65" s="49"/>
      <c r="T65" s="49"/>
      <c r="U65" s="49">
        <v>-0.05</v>
      </c>
      <c r="V65" s="49">
        <v>0</v>
      </c>
      <c r="W65" s="49">
        <v>0</v>
      </c>
      <c r="X65" s="49">
        <v>0</v>
      </c>
      <c r="Y65" s="49">
        <v>0</v>
      </c>
      <c r="Z65" s="49"/>
    </row>
    <row r="66" spans="1:26" ht="12.75">
      <c r="A66" s="51">
        <f t="shared" si="17"/>
        <v>50</v>
      </c>
      <c r="B66" s="49" t="s">
        <v>352</v>
      </c>
      <c r="C66" s="49">
        <f t="shared" si="9"/>
        <v>0</v>
      </c>
      <c r="D66" s="49">
        <f t="shared" si="10"/>
        <v>0</v>
      </c>
      <c r="E66" s="49"/>
      <c r="F66" s="49"/>
      <c r="G66" s="49">
        <f t="shared" si="11"/>
        <v>0</v>
      </c>
      <c r="H66" s="49"/>
      <c r="I66" s="49">
        <f t="shared" si="12"/>
        <v>0</v>
      </c>
      <c r="J66" s="49">
        <f t="shared" si="13"/>
        <v>0</v>
      </c>
      <c r="K66" s="49">
        <f t="shared" si="14"/>
        <v>0</v>
      </c>
      <c r="L66" s="49">
        <f t="shared" si="15"/>
        <v>0</v>
      </c>
      <c r="M66" s="49">
        <f t="shared" si="16"/>
        <v>0</v>
      </c>
      <c r="N66" s="49"/>
      <c r="O66" s="49">
        <v>0</v>
      </c>
      <c r="P66" s="49">
        <v>0</v>
      </c>
      <c r="Q66" s="49">
        <v>0</v>
      </c>
      <c r="R66" s="49">
        <v>0</v>
      </c>
      <c r="S66" s="49"/>
      <c r="T66" s="49"/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/>
    </row>
    <row r="67" spans="1:26" ht="12.75">
      <c r="A67" s="51">
        <f t="shared" si="17"/>
        <v>51</v>
      </c>
      <c r="B67" s="49" t="s">
        <v>353</v>
      </c>
      <c r="C67" s="49">
        <f t="shared" si="9"/>
        <v>12967.15</v>
      </c>
      <c r="D67" s="49">
        <f t="shared" si="10"/>
        <v>12967.15</v>
      </c>
      <c r="E67" s="49"/>
      <c r="F67" s="49"/>
      <c r="G67" s="49">
        <f t="shared" si="11"/>
        <v>12967</v>
      </c>
      <c r="H67" s="49"/>
      <c r="I67" s="49">
        <f t="shared" si="12"/>
        <v>12967.15</v>
      </c>
      <c r="J67" s="49">
        <f t="shared" si="13"/>
        <v>0</v>
      </c>
      <c r="K67" s="49">
        <f t="shared" si="14"/>
        <v>0</v>
      </c>
      <c r="L67" s="49">
        <f t="shared" si="15"/>
        <v>0</v>
      </c>
      <c r="M67" s="49">
        <f t="shared" si="16"/>
        <v>0</v>
      </c>
      <c r="N67" s="49"/>
      <c r="O67" s="49">
        <v>12967.15</v>
      </c>
      <c r="P67" s="49">
        <v>0</v>
      </c>
      <c r="Q67" s="49">
        <v>0</v>
      </c>
      <c r="R67" s="49">
        <v>0</v>
      </c>
      <c r="S67" s="49"/>
      <c r="T67" s="49"/>
      <c r="U67" s="49">
        <v>12967.15</v>
      </c>
      <c r="V67" s="49">
        <v>0</v>
      </c>
      <c r="W67" s="49">
        <v>0</v>
      </c>
      <c r="X67" s="49">
        <v>0</v>
      </c>
      <c r="Y67" s="49">
        <v>0</v>
      </c>
      <c r="Z67" s="49"/>
    </row>
    <row r="68" spans="1:26" ht="12.75">
      <c r="A68" s="51">
        <f t="shared" si="17"/>
        <v>52</v>
      </c>
      <c r="B68" s="49" t="s">
        <v>354</v>
      </c>
      <c r="C68" s="49">
        <f t="shared" si="9"/>
        <v>-0.05</v>
      </c>
      <c r="D68" s="49">
        <f t="shared" si="10"/>
        <v>-0.05</v>
      </c>
      <c r="E68" s="49"/>
      <c r="F68" s="49"/>
      <c r="G68" s="49">
        <f t="shared" si="11"/>
        <v>0</v>
      </c>
      <c r="H68" s="49"/>
      <c r="I68" s="49">
        <f t="shared" si="12"/>
        <v>-0.05</v>
      </c>
      <c r="J68" s="49">
        <f t="shared" si="13"/>
        <v>0</v>
      </c>
      <c r="K68" s="49">
        <f t="shared" si="14"/>
        <v>0</v>
      </c>
      <c r="L68" s="49">
        <f t="shared" si="15"/>
        <v>0</v>
      </c>
      <c r="M68" s="49">
        <f t="shared" si="16"/>
        <v>0</v>
      </c>
      <c r="N68" s="49"/>
      <c r="O68" s="49">
        <v>-0.05</v>
      </c>
      <c r="P68" s="49">
        <v>0</v>
      </c>
      <c r="Q68" s="49">
        <v>0</v>
      </c>
      <c r="R68" s="49">
        <v>0</v>
      </c>
      <c r="S68" s="49"/>
      <c r="T68" s="49"/>
      <c r="U68" s="49">
        <v>-0.05</v>
      </c>
      <c r="V68" s="49">
        <v>0</v>
      </c>
      <c r="W68" s="49">
        <v>0</v>
      </c>
      <c r="X68" s="49">
        <v>0</v>
      </c>
      <c r="Y68" s="49">
        <v>0</v>
      </c>
      <c r="Z68" s="49"/>
    </row>
    <row r="69" spans="1:26" ht="12.75">
      <c r="A69" s="51">
        <f t="shared" si="17"/>
        <v>53</v>
      </c>
      <c r="B69" s="49" t="s">
        <v>189</v>
      </c>
      <c r="C69" s="49">
        <f t="shared" si="9"/>
        <v>205816.75</v>
      </c>
      <c r="D69" s="49">
        <f t="shared" si="10"/>
        <v>208039.53</v>
      </c>
      <c r="E69" s="49"/>
      <c r="F69" s="49"/>
      <c r="G69" s="49">
        <f t="shared" si="11"/>
        <v>206928</v>
      </c>
      <c r="H69" s="49"/>
      <c r="I69" s="49">
        <f t="shared" si="12"/>
        <v>0</v>
      </c>
      <c r="J69" s="49">
        <f t="shared" si="13"/>
        <v>0</v>
      </c>
      <c r="K69" s="49">
        <f t="shared" si="14"/>
        <v>0</v>
      </c>
      <c r="L69" s="49">
        <f t="shared" si="15"/>
        <v>206928.14</v>
      </c>
      <c r="M69" s="49">
        <f t="shared" si="16"/>
        <v>0</v>
      </c>
      <c r="N69" s="49"/>
      <c r="O69" s="49">
        <v>0</v>
      </c>
      <c r="P69" s="49">
        <v>0</v>
      </c>
      <c r="Q69" s="49">
        <v>0</v>
      </c>
      <c r="R69" s="49">
        <v>205816.75</v>
      </c>
      <c r="S69" s="49"/>
      <c r="T69" s="49"/>
      <c r="U69" s="49">
        <v>0</v>
      </c>
      <c r="V69" s="49">
        <v>0</v>
      </c>
      <c r="W69" s="49">
        <v>0</v>
      </c>
      <c r="X69" s="49">
        <v>208039.53</v>
      </c>
      <c r="Y69" s="49">
        <v>0</v>
      </c>
      <c r="Z69" s="49"/>
    </row>
    <row r="70" spans="1:26" ht="12.75">
      <c r="A70" s="51">
        <f t="shared" si="17"/>
        <v>54</v>
      </c>
      <c r="B70" s="49" t="s">
        <v>355</v>
      </c>
      <c r="C70" s="49">
        <f t="shared" si="9"/>
        <v>7624701.59</v>
      </c>
      <c r="D70" s="49">
        <f t="shared" si="10"/>
        <v>9750557.27</v>
      </c>
      <c r="E70" s="49"/>
      <c r="F70" s="49"/>
      <c r="G70" s="49">
        <f t="shared" si="11"/>
        <v>8687629</v>
      </c>
      <c r="H70" s="49"/>
      <c r="I70" s="49">
        <f t="shared" si="12"/>
        <v>8687629.43</v>
      </c>
      <c r="J70" s="49">
        <f t="shared" si="13"/>
        <v>0</v>
      </c>
      <c r="K70" s="49">
        <f t="shared" si="14"/>
        <v>0</v>
      </c>
      <c r="L70" s="49">
        <f t="shared" si="15"/>
        <v>0</v>
      </c>
      <c r="M70" s="49">
        <f t="shared" si="16"/>
        <v>0</v>
      </c>
      <c r="N70" s="49"/>
      <c r="O70" s="49">
        <v>7624701.59</v>
      </c>
      <c r="P70" s="49">
        <v>0</v>
      </c>
      <c r="Q70" s="49">
        <v>0</v>
      </c>
      <c r="R70" s="49">
        <v>0</v>
      </c>
      <c r="S70" s="49"/>
      <c r="T70" s="49"/>
      <c r="U70" s="49">
        <v>9750557.27</v>
      </c>
      <c r="V70" s="49">
        <v>0</v>
      </c>
      <c r="W70" s="49">
        <v>0</v>
      </c>
      <c r="X70" s="49">
        <v>0</v>
      </c>
      <c r="Y70" s="49">
        <v>0</v>
      </c>
      <c r="Z70" s="49"/>
    </row>
    <row r="71" spans="1:26" ht="12.75">
      <c r="A71" s="51">
        <f t="shared" si="17"/>
        <v>55</v>
      </c>
      <c r="B71" s="49" t="s">
        <v>356</v>
      </c>
      <c r="C71" s="49">
        <f t="shared" si="9"/>
        <v>132006534.28</v>
      </c>
      <c r="D71" s="49">
        <f t="shared" si="10"/>
        <v>123791023.19</v>
      </c>
      <c r="E71" s="49"/>
      <c r="F71" s="49"/>
      <c r="G71" s="49">
        <f t="shared" si="11"/>
        <v>127898779</v>
      </c>
      <c r="H71" s="49"/>
      <c r="I71" s="49">
        <f t="shared" si="12"/>
        <v>0</v>
      </c>
      <c r="J71" s="49">
        <f t="shared" si="13"/>
        <v>127898778.735</v>
      </c>
      <c r="K71" s="49">
        <f t="shared" si="14"/>
        <v>0</v>
      </c>
      <c r="L71" s="49">
        <f t="shared" si="15"/>
        <v>0</v>
      </c>
      <c r="M71" s="49">
        <f t="shared" si="16"/>
        <v>0</v>
      </c>
      <c r="N71" s="49"/>
      <c r="O71" s="49">
        <v>0</v>
      </c>
      <c r="P71" s="49">
        <v>132006534.28</v>
      </c>
      <c r="Q71" s="49">
        <v>0</v>
      </c>
      <c r="R71" s="49">
        <v>0</v>
      </c>
      <c r="S71" s="49"/>
      <c r="T71" s="49"/>
      <c r="U71" s="49">
        <v>0</v>
      </c>
      <c r="V71" s="49">
        <v>123791023.19</v>
      </c>
      <c r="W71" s="49">
        <v>0</v>
      </c>
      <c r="X71" s="49">
        <v>0</v>
      </c>
      <c r="Y71" s="49">
        <v>0</v>
      </c>
      <c r="Z71" s="49"/>
    </row>
    <row r="72" spans="1:26" ht="12.75">
      <c r="A72" s="51">
        <f t="shared" si="17"/>
        <v>56</v>
      </c>
      <c r="B72" s="49" t="s">
        <v>193</v>
      </c>
      <c r="C72" s="49">
        <f t="shared" si="9"/>
        <v>16227.06</v>
      </c>
      <c r="D72" s="49">
        <f t="shared" si="10"/>
        <v>13646.710000000001</v>
      </c>
      <c r="E72" s="49"/>
      <c r="F72" s="49"/>
      <c r="G72" s="49">
        <f t="shared" si="11"/>
        <v>14937</v>
      </c>
      <c r="H72" s="49"/>
      <c r="I72" s="49">
        <f t="shared" si="12"/>
        <v>-191.29</v>
      </c>
      <c r="J72" s="49">
        <f t="shared" si="13"/>
        <v>13499.05</v>
      </c>
      <c r="K72" s="49">
        <f t="shared" si="14"/>
        <v>38.6</v>
      </c>
      <c r="L72" s="49">
        <f t="shared" si="15"/>
        <v>1590.525</v>
      </c>
      <c r="M72" s="49">
        <f t="shared" si="16"/>
        <v>0</v>
      </c>
      <c r="N72" s="49"/>
      <c r="O72" s="49">
        <v>-164.79</v>
      </c>
      <c r="P72" s="49">
        <v>14857.75</v>
      </c>
      <c r="Q72" s="49">
        <v>68</v>
      </c>
      <c r="R72" s="49">
        <v>1466.1</v>
      </c>
      <c r="S72" s="49"/>
      <c r="T72" s="49"/>
      <c r="U72" s="49">
        <v>-217.79</v>
      </c>
      <c r="V72" s="49">
        <v>12140.35</v>
      </c>
      <c r="W72" s="49">
        <v>9.2</v>
      </c>
      <c r="X72" s="49">
        <v>1714.95</v>
      </c>
      <c r="Y72" s="49">
        <v>0</v>
      </c>
      <c r="Z72" s="49"/>
    </row>
    <row r="73" spans="1:26" ht="12.75">
      <c r="A73" s="51">
        <f t="shared" si="17"/>
        <v>57</v>
      </c>
      <c r="B73" s="49" t="s">
        <v>357</v>
      </c>
      <c r="C73" s="49">
        <f t="shared" si="9"/>
        <v>14916.05</v>
      </c>
      <c r="D73" s="49">
        <f t="shared" si="10"/>
        <v>11136.05</v>
      </c>
      <c r="E73" s="49"/>
      <c r="F73" s="49"/>
      <c r="G73" s="49">
        <f t="shared" si="11"/>
        <v>13026</v>
      </c>
      <c r="H73" s="49"/>
      <c r="I73" s="49">
        <f t="shared" si="12"/>
        <v>0</v>
      </c>
      <c r="J73" s="49">
        <f t="shared" si="13"/>
        <v>0</v>
      </c>
      <c r="K73" s="49">
        <f t="shared" si="14"/>
        <v>0</v>
      </c>
      <c r="L73" s="49">
        <f t="shared" si="15"/>
        <v>13026.05</v>
      </c>
      <c r="M73" s="49">
        <f t="shared" si="16"/>
        <v>0</v>
      </c>
      <c r="N73" s="49"/>
      <c r="O73" s="49">
        <v>0</v>
      </c>
      <c r="P73" s="49">
        <v>0</v>
      </c>
      <c r="Q73" s="49">
        <v>0</v>
      </c>
      <c r="R73" s="49">
        <v>14916.05</v>
      </c>
      <c r="S73" s="49"/>
      <c r="T73" s="49"/>
      <c r="U73" s="49">
        <v>0</v>
      </c>
      <c r="V73" s="49">
        <v>0</v>
      </c>
      <c r="W73" s="49">
        <v>0</v>
      </c>
      <c r="X73" s="49">
        <v>11136.05</v>
      </c>
      <c r="Y73" s="49">
        <v>0</v>
      </c>
      <c r="Z73" s="49"/>
    </row>
    <row r="74" spans="1:26" ht="12.75">
      <c r="A74" s="51">
        <f t="shared" si="17"/>
        <v>58</v>
      </c>
      <c r="B74" s="49" t="s">
        <v>358</v>
      </c>
      <c r="C74" s="49">
        <f t="shared" si="9"/>
        <v>4148658.82</v>
      </c>
      <c r="D74" s="49">
        <f t="shared" si="10"/>
        <v>4148693.82</v>
      </c>
      <c r="E74" s="49"/>
      <c r="F74" s="49"/>
      <c r="G74" s="49">
        <f t="shared" si="11"/>
        <v>4148676</v>
      </c>
      <c r="H74" s="49"/>
      <c r="I74" s="49">
        <f t="shared" si="12"/>
        <v>0</v>
      </c>
      <c r="J74" s="49">
        <f t="shared" si="13"/>
        <v>4148676.32</v>
      </c>
      <c r="K74" s="49">
        <f t="shared" si="14"/>
        <v>0</v>
      </c>
      <c r="L74" s="49">
        <f t="shared" si="15"/>
        <v>0</v>
      </c>
      <c r="M74" s="49">
        <f t="shared" si="16"/>
        <v>0</v>
      </c>
      <c r="N74" s="49"/>
      <c r="O74" s="49">
        <v>0</v>
      </c>
      <c r="P74" s="49">
        <f>4148968.82-310</f>
        <v>4148658.82</v>
      </c>
      <c r="Q74" s="49">
        <v>0</v>
      </c>
      <c r="R74" s="49">
        <v>0</v>
      </c>
      <c r="S74" s="49"/>
      <c r="T74" s="49"/>
      <c r="U74" s="49">
        <v>0</v>
      </c>
      <c r="V74" s="49">
        <f>4149003.82-310</f>
        <v>4148693.82</v>
      </c>
      <c r="W74" s="49">
        <v>0</v>
      </c>
      <c r="X74" s="49">
        <v>0</v>
      </c>
      <c r="Y74" s="49">
        <v>0</v>
      </c>
      <c r="Z74" s="49"/>
    </row>
    <row r="75" spans="1:26" ht="12.75">
      <c r="A75" s="51">
        <f t="shared" si="17"/>
        <v>59</v>
      </c>
      <c r="B75" s="49" t="s">
        <v>359</v>
      </c>
      <c r="C75" s="49">
        <f t="shared" si="9"/>
        <v>26611734.46</v>
      </c>
      <c r="D75" s="49">
        <f t="shared" si="10"/>
        <v>26611734.46</v>
      </c>
      <c r="E75" s="49"/>
      <c r="F75" s="49"/>
      <c r="G75" s="49">
        <f t="shared" si="11"/>
        <v>26611734</v>
      </c>
      <c r="H75" s="49"/>
      <c r="I75" s="49">
        <f t="shared" si="12"/>
        <v>0</v>
      </c>
      <c r="J75" s="49">
        <f t="shared" si="13"/>
        <v>26611734.46</v>
      </c>
      <c r="K75" s="49">
        <f t="shared" si="14"/>
        <v>0</v>
      </c>
      <c r="L75" s="49">
        <f t="shared" si="15"/>
        <v>0</v>
      </c>
      <c r="M75" s="49">
        <f t="shared" si="16"/>
        <v>0</v>
      </c>
      <c r="N75" s="49"/>
      <c r="O75" s="49">
        <v>0</v>
      </c>
      <c r="P75" s="49">
        <f>26611137.46+597</f>
        <v>26611734.46</v>
      </c>
      <c r="Q75" s="49">
        <v>0</v>
      </c>
      <c r="R75" s="49">
        <v>0</v>
      </c>
      <c r="S75" s="49"/>
      <c r="T75" s="49"/>
      <c r="U75" s="49">
        <v>0</v>
      </c>
      <c r="V75" s="49">
        <f>26611137.46+597</f>
        <v>26611734.46</v>
      </c>
      <c r="W75" s="49">
        <v>0</v>
      </c>
      <c r="X75" s="49">
        <v>0</v>
      </c>
      <c r="Y75" s="49">
        <v>0</v>
      </c>
      <c r="Z75" s="49"/>
    </row>
    <row r="76" spans="1:26" ht="12.75">
      <c r="A76" s="51">
        <f t="shared" si="17"/>
        <v>60</v>
      </c>
      <c r="B76" s="49" t="s">
        <v>360</v>
      </c>
      <c r="C76" s="49">
        <f t="shared" si="9"/>
        <v>8907272.36</v>
      </c>
      <c r="D76" s="49">
        <f t="shared" si="10"/>
        <v>8907272.36</v>
      </c>
      <c r="E76" s="49"/>
      <c r="F76" s="49"/>
      <c r="G76" s="49">
        <f t="shared" si="11"/>
        <v>8907272</v>
      </c>
      <c r="H76" s="49"/>
      <c r="I76" s="49">
        <f t="shared" si="12"/>
        <v>0</v>
      </c>
      <c r="J76" s="49">
        <f t="shared" si="13"/>
        <v>8907272.36</v>
      </c>
      <c r="K76" s="49">
        <f t="shared" si="14"/>
        <v>0</v>
      </c>
      <c r="L76" s="49">
        <f t="shared" si="15"/>
        <v>0</v>
      </c>
      <c r="M76" s="49">
        <f t="shared" si="16"/>
        <v>0</v>
      </c>
      <c r="N76" s="49"/>
      <c r="O76" s="49">
        <v>0</v>
      </c>
      <c r="P76" s="49">
        <f>8907249.36+23</f>
        <v>8907272.36</v>
      </c>
      <c r="Q76" s="49">
        <v>0</v>
      </c>
      <c r="R76" s="49">
        <v>0</v>
      </c>
      <c r="S76" s="49"/>
      <c r="T76" s="49"/>
      <c r="U76" s="49">
        <v>0</v>
      </c>
      <c r="V76" s="49">
        <f>8907249.36+23</f>
        <v>8907272.36</v>
      </c>
      <c r="W76" s="49">
        <v>0</v>
      </c>
      <c r="X76" s="49">
        <v>0</v>
      </c>
      <c r="Y76" s="49">
        <v>0</v>
      </c>
      <c r="Z76" s="49"/>
    </row>
    <row r="77" spans="1:26" ht="12.75">
      <c r="A77" s="51">
        <f t="shared" si="17"/>
        <v>61</v>
      </c>
      <c r="B77" s="49" t="s">
        <v>361</v>
      </c>
      <c r="C77" s="49">
        <f t="shared" si="9"/>
        <v>-24467703</v>
      </c>
      <c r="D77" s="49">
        <f t="shared" si="10"/>
        <v>-24467703</v>
      </c>
      <c r="E77" s="49"/>
      <c r="F77" s="49"/>
      <c r="G77" s="49">
        <f t="shared" si="11"/>
        <v>-24467703</v>
      </c>
      <c r="H77" s="49"/>
      <c r="I77" s="49">
        <f t="shared" si="12"/>
        <v>0</v>
      </c>
      <c r="J77" s="49">
        <f t="shared" si="13"/>
        <v>-24467703</v>
      </c>
      <c r="K77" s="49">
        <f t="shared" si="14"/>
        <v>0</v>
      </c>
      <c r="L77" s="49">
        <f t="shared" si="15"/>
        <v>0</v>
      </c>
      <c r="M77" s="49">
        <f t="shared" si="16"/>
        <v>0</v>
      </c>
      <c r="N77" s="49"/>
      <c r="O77" s="49">
        <v>0</v>
      </c>
      <c r="P77" s="49">
        <f>-24467703</f>
        <v>-24467703</v>
      </c>
      <c r="Q77" s="49">
        <v>0</v>
      </c>
      <c r="R77" s="49">
        <v>0</v>
      </c>
      <c r="S77" s="49"/>
      <c r="T77" s="49"/>
      <c r="U77" s="49">
        <v>0</v>
      </c>
      <c r="V77" s="49">
        <v>-24467703</v>
      </c>
      <c r="W77" s="49">
        <v>0</v>
      </c>
      <c r="X77" s="49">
        <v>0</v>
      </c>
      <c r="Y77" s="49">
        <v>0</v>
      </c>
      <c r="Z77" s="49"/>
    </row>
    <row r="78" spans="1:26" ht="12.75">
      <c r="A78" s="51">
        <f t="shared" si="17"/>
        <v>62</v>
      </c>
      <c r="B78" s="49" t="s">
        <v>362</v>
      </c>
      <c r="C78" s="49">
        <f t="shared" si="9"/>
        <v>18686.85</v>
      </c>
      <c r="D78" s="49">
        <f t="shared" si="10"/>
        <v>0</v>
      </c>
      <c r="E78" s="49"/>
      <c r="F78" s="49"/>
      <c r="G78" s="49">
        <f t="shared" si="11"/>
        <v>9343</v>
      </c>
      <c r="H78" s="49"/>
      <c r="I78" s="49">
        <f t="shared" si="12"/>
        <v>0</v>
      </c>
      <c r="J78" s="49">
        <f t="shared" si="13"/>
        <v>9343.425</v>
      </c>
      <c r="K78" s="49">
        <f t="shared" si="14"/>
        <v>0</v>
      </c>
      <c r="L78" s="49">
        <f t="shared" si="15"/>
        <v>0</v>
      </c>
      <c r="M78" s="49">
        <f t="shared" si="16"/>
        <v>0</v>
      </c>
      <c r="N78" s="49"/>
      <c r="O78" s="49">
        <v>0</v>
      </c>
      <c r="P78" s="49">
        <v>18686.85</v>
      </c>
      <c r="Q78" s="49">
        <v>0</v>
      </c>
      <c r="R78" s="49">
        <v>0</v>
      </c>
      <c r="S78" s="49"/>
      <c r="T78" s="49"/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/>
    </row>
    <row r="79" spans="1:26" ht="12.75">
      <c r="A79" s="51">
        <f t="shared" si="17"/>
        <v>63</v>
      </c>
      <c r="B79" s="49" t="s">
        <v>363</v>
      </c>
      <c r="C79" s="49">
        <f t="shared" si="9"/>
        <v>14589462.73</v>
      </c>
      <c r="D79" s="49">
        <f t="shared" si="10"/>
        <v>14589462.73</v>
      </c>
      <c r="E79" s="49"/>
      <c r="F79" s="49"/>
      <c r="G79" s="49">
        <f t="shared" si="11"/>
        <v>14589463</v>
      </c>
      <c r="H79" s="49"/>
      <c r="I79" s="49">
        <f t="shared" si="12"/>
        <v>0</v>
      </c>
      <c r="J79" s="49">
        <f t="shared" si="13"/>
        <v>14589462.73</v>
      </c>
      <c r="K79" s="49">
        <f t="shared" si="14"/>
        <v>0</v>
      </c>
      <c r="L79" s="49">
        <f t="shared" si="15"/>
        <v>0</v>
      </c>
      <c r="M79" s="49">
        <f t="shared" si="16"/>
        <v>0</v>
      </c>
      <c r="N79" s="49"/>
      <c r="O79" s="49">
        <v>0</v>
      </c>
      <c r="P79" s="49">
        <v>14589462.73</v>
      </c>
      <c r="Q79" s="49">
        <v>0</v>
      </c>
      <c r="R79" s="49">
        <v>0</v>
      </c>
      <c r="S79" s="49"/>
      <c r="T79" s="49"/>
      <c r="U79" s="49">
        <v>0</v>
      </c>
      <c r="V79" s="49">
        <v>14589462.73</v>
      </c>
      <c r="W79" s="49">
        <v>0</v>
      </c>
      <c r="X79" s="49">
        <v>0</v>
      </c>
      <c r="Y79" s="49">
        <v>0</v>
      </c>
      <c r="Z79" s="49"/>
    </row>
    <row r="80" spans="1:26" ht="12.75">
      <c r="A80" s="51">
        <f t="shared" si="17"/>
        <v>64</v>
      </c>
      <c r="B80" s="49" t="s">
        <v>364</v>
      </c>
      <c r="C80" s="49">
        <f t="shared" si="9"/>
        <v>44528880.94</v>
      </c>
      <c r="D80" s="49">
        <f t="shared" si="10"/>
        <v>44528880.94</v>
      </c>
      <c r="E80" s="49"/>
      <c r="F80" s="49"/>
      <c r="G80" s="49">
        <f t="shared" si="11"/>
        <v>44528881</v>
      </c>
      <c r="H80" s="49"/>
      <c r="I80" s="49">
        <f t="shared" si="12"/>
        <v>0</v>
      </c>
      <c r="J80" s="49">
        <f t="shared" si="13"/>
        <v>44528880.94</v>
      </c>
      <c r="K80" s="49">
        <f t="shared" si="14"/>
        <v>0</v>
      </c>
      <c r="L80" s="49">
        <f t="shared" si="15"/>
        <v>0</v>
      </c>
      <c r="M80" s="49">
        <f t="shared" si="16"/>
        <v>0</v>
      </c>
      <c r="N80" s="49"/>
      <c r="O80" s="49">
        <v>0</v>
      </c>
      <c r="P80" s="49">
        <v>44528880.94</v>
      </c>
      <c r="Q80" s="49">
        <v>0</v>
      </c>
      <c r="R80" s="49">
        <v>0</v>
      </c>
      <c r="S80" s="49"/>
      <c r="T80" s="49"/>
      <c r="U80" s="49">
        <v>0</v>
      </c>
      <c r="V80" s="49">
        <v>44528880.94</v>
      </c>
      <c r="W80" s="49">
        <v>0</v>
      </c>
      <c r="X80" s="49">
        <v>0</v>
      </c>
      <c r="Y80" s="49">
        <v>0</v>
      </c>
      <c r="Z80" s="49"/>
    </row>
    <row r="81" spans="1:26" ht="12.75">
      <c r="A81" s="51">
        <f t="shared" si="17"/>
        <v>65</v>
      </c>
      <c r="B81" s="49" t="s">
        <v>365</v>
      </c>
      <c r="C81" s="49">
        <f aca="true" t="shared" si="18" ref="C81:C112">SUM(O81:S81)</f>
        <v>8398128.23</v>
      </c>
      <c r="D81" s="49">
        <f aca="true" t="shared" si="19" ref="D81:D112">SUM(U81:Y81)</f>
        <v>8398128.23</v>
      </c>
      <c r="E81" s="49"/>
      <c r="F81" s="49"/>
      <c r="G81" s="49">
        <f aca="true" t="shared" si="20" ref="G81:G112">ROUND(SUM(C81:F81)/2,0)</f>
        <v>8398128</v>
      </c>
      <c r="H81" s="49"/>
      <c r="I81" s="49">
        <f aca="true" t="shared" si="21" ref="I81:I112">(+O81+U81)/2</f>
        <v>0</v>
      </c>
      <c r="J81" s="49">
        <f aca="true" t="shared" si="22" ref="J81:J112">(+P81+V81)/2</f>
        <v>8398128.23</v>
      </c>
      <c r="K81" s="49">
        <f aca="true" t="shared" si="23" ref="K81:K112">(+Q81+W81)/2</f>
        <v>0</v>
      </c>
      <c r="L81" s="49">
        <f aca="true" t="shared" si="24" ref="L81:L112">(+R81+X81)/2</f>
        <v>0</v>
      </c>
      <c r="M81" s="49">
        <f aca="true" t="shared" si="25" ref="M81:M112">(+S81+Y81)/2</f>
        <v>0</v>
      </c>
      <c r="N81" s="49"/>
      <c r="O81" s="49">
        <v>0</v>
      </c>
      <c r="P81" s="49">
        <v>8398128.23</v>
      </c>
      <c r="Q81" s="49">
        <v>0</v>
      </c>
      <c r="R81" s="49">
        <v>0</v>
      </c>
      <c r="S81" s="49"/>
      <c r="T81" s="49"/>
      <c r="U81" s="49">
        <v>0</v>
      </c>
      <c r="V81" s="49">
        <v>8398128.23</v>
      </c>
      <c r="W81" s="49">
        <v>0</v>
      </c>
      <c r="X81" s="49">
        <v>0</v>
      </c>
      <c r="Y81" s="49">
        <v>0</v>
      </c>
      <c r="Z81" s="49"/>
    </row>
    <row r="82" spans="1:26" ht="12.75">
      <c r="A82" s="51">
        <f aca="true" t="shared" si="26" ref="A82:A113">A81+1</f>
        <v>66</v>
      </c>
      <c r="B82" s="49" t="s">
        <v>366</v>
      </c>
      <c r="C82" s="49">
        <f t="shared" si="18"/>
        <v>-68305052.08</v>
      </c>
      <c r="D82" s="49">
        <f t="shared" si="19"/>
        <v>-68247558.53</v>
      </c>
      <c r="E82" s="49"/>
      <c r="F82" s="49"/>
      <c r="G82" s="49">
        <f t="shared" si="20"/>
        <v>-68276305</v>
      </c>
      <c r="H82" s="49"/>
      <c r="I82" s="49">
        <f t="shared" si="21"/>
        <v>0</v>
      </c>
      <c r="J82" s="49">
        <f t="shared" si="22"/>
        <v>-68276305.305</v>
      </c>
      <c r="K82" s="49">
        <f t="shared" si="23"/>
        <v>0</v>
      </c>
      <c r="L82" s="49">
        <f t="shared" si="24"/>
        <v>0</v>
      </c>
      <c r="M82" s="49">
        <f t="shared" si="25"/>
        <v>0</v>
      </c>
      <c r="N82" s="49"/>
      <c r="O82" s="49">
        <v>0</v>
      </c>
      <c r="P82" s="49">
        <v>-68305052.08</v>
      </c>
      <c r="Q82" s="49">
        <v>0</v>
      </c>
      <c r="R82" s="49">
        <v>0</v>
      </c>
      <c r="S82" s="49"/>
      <c r="T82" s="49"/>
      <c r="U82" s="49">
        <v>0</v>
      </c>
      <c r="V82" s="49">
        <v>-68247558.53</v>
      </c>
      <c r="W82" s="49">
        <v>0</v>
      </c>
      <c r="X82" s="49">
        <v>0</v>
      </c>
      <c r="Y82" s="49">
        <v>0</v>
      </c>
      <c r="Z82" s="49"/>
    </row>
    <row r="83" spans="1:26" ht="12.75">
      <c r="A83" s="51">
        <f t="shared" si="26"/>
        <v>67</v>
      </c>
      <c r="B83" s="49" t="s">
        <v>367</v>
      </c>
      <c r="C83" s="49">
        <f t="shared" si="18"/>
        <v>0</v>
      </c>
      <c r="D83" s="49">
        <f t="shared" si="19"/>
        <v>-0.21</v>
      </c>
      <c r="E83" s="49"/>
      <c r="F83" s="49"/>
      <c r="G83" s="49">
        <f t="shared" si="20"/>
        <v>0</v>
      </c>
      <c r="H83" s="49"/>
      <c r="I83" s="49">
        <f t="shared" si="21"/>
        <v>0</v>
      </c>
      <c r="J83" s="49">
        <f t="shared" si="22"/>
        <v>-0.105</v>
      </c>
      <c r="K83" s="49">
        <f t="shared" si="23"/>
        <v>0</v>
      </c>
      <c r="L83" s="49">
        <f t="shared" si="24"/>
        <v>0</v>
      </c>
      <c r="M83" s="49">
        <f t="shared" si="25"/>
        <v>0</v>
      </c>
      <c r="N83" s="49"/>
      <c r="O83" s="49">
        <v>0</v>
      </c>
      <c r="P83" s="49">
        <v>0</v>
      </c>
      <c r="Q83" s="49">
        <v>0</v>
      </c>
      <c r="R83" s="49">
        <v>0</v>
      </c>
      <c r="S83" s="49"/>
      <c r="T83" s="49"/>
      <c r="U83" s="49">
        <v>0</v>
      </c>
      <c r="V83" s="49">
        <v>-0.21</v>
      </c>
      <c r="W83" s="49">
        <v>0</v>
      </c>
      <c r="X83" s="49">
        <v>0</v>
      </c>
      <c r="Y83" s="49">
        <v>0</v>
      </c>
      <c r="Z83" s="49"/>
    </row>
    <row r="84" spans="1:26" ht="12.75">
      <c r="A84" s="51">
        <f t="shared" si="26"/>
        <v>68</v>
      </c>
      <c r="B84" s="49" t="s">
        <v>368</v>
      </c>
      <c r="C84" s="49">
        <f t="shared" si="18"/>
        <v>-18177209.68</v>
      </c>
      <c r="D84" s="49">
        <f t="shared" si="19"/>
        <v>-3406960.83</v>
      </c>
      <c r="E84" s="49"/>
      <c r="F84" s="49"/>
      <c r="G84" s="49">
        <f t="shared" si="20"/>
        <v>-10792085</v>
      </c>
      <c r="H84" s="49"/>
      <c r="I84" s="49">
        <f t="shared" si="21"/>
        <v>0</v>
      </c>
      <c r="J84" s="49">
        <f t="shared" si="22"/>
        <v>-10792085.254999999</v>
      </c>
      <c r="K84" s="49">
        <f t="shared" si="23"/>
        <v>0</v>
      </c>
      <c r="L84" s="49">
        <f t="shared" si="24"/>
        <v>0</v>
      </c>
      <c r="M84" s="49">
        <f t="shared" si="25"/>
        <v>0</v>
      </c>
      <c r="N84" s="49"/>
      <c r="O84" s="49">
        <v>0</v>
      </c>
      <c r="P84" s="49">
        <v>-18177209.68</v>
      </c>
      <c r="Q84" s="49">
        <v>0</v>
      </c>
      <c r="R84" s="49">
        <v>0</v>
      </c>
      <c r="S84" s="49"/>
      <c r="T84" s="49"/>
      <c r="U84" s="49">
        <v>0</v>
      </c>
      <c r="V84" s="49">
        <v>-3406960.83</v>
      </c>
      <c r="W84" s="49">
        <v>0</v>
      </c>
      <c r="X84" s="49">
        <v>0</v>
      </c>
      <c r="Y84" s="49">
        <v>0</v>
      </c>
      <c r="Z84" s="49"/>
    </row>
    <row r="85" spans="1:26" ht="12.75">
      <c r="A85" s="51">
        <f t="shared" si="26"/>
        <v>69</v>
      </c>
      <c r="B85" s="49" t="s">
        <v>369</v>
      </c>
      <c r="C85" s="49">
        <f t="shared" si="18"/>
        <v>-12935547.49</v>
      </c>
      <c r="D85" s="49">
        <f t="shared" si="19"/>
        <v>-12848130.79</v>
      </c>
      <c r="E85" s="49"/>
      <c r="F85" s="49"/>
      <c r="G85" s="49">
        <f t="shared" si="20"/>
        <v>-12891839</v>
      </c>
      <c r="H85" s="49"/>
      <c r="I85" s="49">
        <f t="shared" si="21"/>
        <v>0</v>
      </c>
      <c r="J85" s="49">
        <f t="shared" si="22"/>
        <v>-12891839.14</v>
      </c>
      <c r="K85" s="49">
        <f t="shared" si="23"/>
        <v>0</v>
      </c>
      <c r="L85" s="49">
        <f t="shared" si="24"/>
        <v>0</v>
      </c>
      <c r="M85" s="49">
        <f t="shared" si="25"/>
        <v>0</v>
      </c>
      <c r="N85" s="49"/>
      <c r="O85" s="49">
        <v>0</v>
      </c>
      <c r="P85" s="49">
        <v>-12935547.49</v>
      </c>
      <c r="Q85" s="49">
        <v>0</v>
      </c>
      <c r="R85" s="49">
        <v>0</v>
      </c>
      <c r="S85" s="49"/>
      <c r="T85" s="49"/>
      <c r="U85" s="49">
        <v>0</v>
      </c>
      <c r="V85" s="49">
        <v>-12848130.79</v>
      </c>
      <c r="W85" s="49">
        <v>0</v>
      </c>
      <c r="X85" s="49">
        <v>0</v>
      </c>
      <c r="Y85" s="49">
        <v>0</v>
      </c>
      <c r="Z85" s="49"/>
    </row>
    <row r="86" spans="1:26" ht="12.75">
      <c r="A86" s="51">
        <f t="shared" si="26"/>
        <v>70</v>
      </c>
      <c r="B86" s="49" t="s">
        <v>370</v>
      </c>
      <c r="C86" s="49">
        <f t="shared" si="18"/>
        <v>-1275381.55</v>
      </c>
      <c r="D86" s="49">
        <f t="shared" si="19"/>
        <v>-1259690</v>
      </c>
      <c r="E86" s="49"/>
      <c r="F86" s="49"/>
      <c r="G86" s="49">
        <f t="shared" si="20"/>
        <v>-1267536</v>
      </c>
      <c r="H86" s="49"/>
      <c r="I86" s="49">
        <f t="shared" si="21"/>
        <v>0</v>
      </c>
      <c r="J86" s="49">
        <f t="shared" si="22"/>
        <v>-1267535.775</v>
      </c>
      <c r="K86" s="49">
        <f t="shared" si="23"/>
        <v>0</v>
      </c>
      <c r="L86" s="49">
        <f t="shared" si="24"/>
        <v>0</v>
      </c>
      <c r="M86" s="49">
        <f t="shared" si="25"/>
        <v>0</v>
      </c>
      <c r="N86" s="49"/>
      <c r="O86" s="49">
        <v>0</v>
      </c>
      <c r="P86" s="49">
        <v>-1275381.55</v>
      </c>
      <c r="Q86" s="49">
        <v>0</v>
      </c>
      <c r="R86" s="49">
        <v>0</v>
      </c>
      <c r="S86" s="49"/>
      <c r="T86" s="49"/>
      <c r="U86" s="49">
        <v>0</v>
      </c>
      <c r="V86" s="49">
        <v>-1259690</v>
      </c>
      <c r="W86" s="49">
        <v>0</v>
      </c>
      <c r="X86" s="49">
        <v>0</v>
      </c>
      <c r="Y86" s="49">
        <v>0</v>
      </c>
      <c r="Z86" s="49"/>
    </row>
    <row r="87" spans="1:26" ht="12.75">
      <c r="A87" s="51">
        <f t="shared" si="26"/>
        <v>71</v>
      </c>
      <c r="B87" s="49" t="s">
        <v>371</v>
      </c>
      <c r="C87" s="49">
        <f t="shared" si="18"/>
        <v>5856365.46</v>
      </c>
      <c r="D87" s="49">
        <f t="shared" si="19"/>
        <v>5859739.2</v>
      </c>
      <c r="E87" s="49"/>
      <c r="F87" s="49"/>
      <c r="G87" s="49">
        <f t="shared" si="20"/>
        <v>5858052</v>
      </c>
      <c r="H87" s="49"/>
      <c r="I87" s="49">
        <f t="shared" si="21"/>
        <v>0</v>
      </c>
      <c r="J87" s="49">
        <f t="shared" si="22"/>
        <v>5858052.33</v>
      </c>
      <c r="K87" s="49">
        <f t="shared" si="23"/>
        <v>0</v>
      </c>
      <c r="L87" s="49">
        <f t="shared" si="24"/>
        <v>0</v>
      </c>
      <c r="M87" s="49">
        <f t="shared" si="25"/>
        <v>0</v>
      </c>
      <c r="N87" s="49"/>
      <c r="O87" s="49">
        <v>0</v>
      </c>
      <c r="P87" s="49">
        <v>5856365.46</v>
      </c>
      <c r="Q87" s="49">
        <v>0</v>
      </c>
      <c r="R87" s="49">
        <v>0</v>
      </c>
      <c r="S87" s="49"/>
      <c r="T87" s="49"/>
      <c r="U87" s="49">
        <v>0</v>
      </c>
      <c r="V87" s="49">
        <v>5859739.2</v>
      </c>
      <c r="W87" s="49">
        <v>0</v>
      </c>
      <c r="X87" s="49">
        <v>0</v>
      </c>
      <c r="Y87" s="49">
        <v>0</v>
      </c>
      <c r="Z87" s="49"/>
    </row>
    <row r="88" spans="1:26" ht="12.75">
      <c r="A88" s="51">
        <f t="shared" si="26"/>
        <v>72</v>
      </c>
      <c r="B88" s="49" t="s">
        <v>372</v>
      </c>
      <c r="C88" s="49">
        <f t="shared" si="18"/>
        <v>24253781.15</v>
      </c>
      <c r="D88" s="49">
        <f t="shared" si="19"/>
        <v>24257018.17</v>
      </c>
      <c r="E88" s="49"/>
      <c r="F88" s="49"/>
      <c r="G88" s="49">
        <f t="shared" si="20"/>
        <v>24255400</v>
      </c>
      <c r="H88" s="49"/>
      <c r="I88" s="49">
        <f t="shared" si="21"/>
        <v>0</v>
      </c>
      <c r="J88" s="49">
        <f t="shared" si="22"/>
        <v>24255399.66</v>
      </c>
      <c r="K88" s="49">
        <f t="shared" si="23"/>
        <v>0</v>
      </c>
      <c r="L88" s="49">
        <f t="shared" si="24"/>
        <v>0</v>
      </c>
      <c r="M88" s="49">
        <f t="shared" si="25"/>
        <v>0</v>
      </c>
      <c r="N88" s="49"/>
      <c r="O88" s="49">
        <v>0</v>
      </c>
      <c r="P88" s="49">
        <v>24253781.15</v>
      </c>
      <c r="Q88" s="49">
        <v>0</v>
      </c>
      <c r="R88" s="49">
        <v>0</v>
      </c>
      <c r="S88" s="49"/>
      <c r="T88" s="49"/>
      <c r="U88" s="49">
        <v>0</v>
      </c>
      <c r="V88" s="49">
        <v>24257018.17</v>
      </c>
      <c r="W88" s="49">
        <v>0</v>
      </c>
      <c r="X88" s="49">
        <v>0</v>
      </c>
      <c r="Y88" s="49">
        <v>0</v>
      </c>
      <c r="Z88" s="49"/>
    </row>
    <row r="89" spans="1:26" ht="12.75">
      <c r="A89" s="51">
        <f t="shared" si="26"/>
        <v>73</v>
      </c>
      <c r="B89" s="49" t="s">
        <v>373</v>
      </c>
      <c r="C89" s="49">
        <f t="shared" si="18"/>
        <v>1831119.2</v>
      </c>
      <c r="D89" s="49">
        <f t="shared" si="19"/>
        <v>1833983.13</v>
      </c>
      <c r="E89" s="49"/>
      <c r="F89" s="49"/>
      <c r="G89" s="49">
        <f t="shared" si="20"/>
        <v>1832551</v>
      </c>
      <c r="H89" s="49"/>
      <c r="I89" s="49">
        <f t="shared" si="21"/>
        <v>0</v>
      </c>
      <c r="J89" s="49">
        <f t="shared" si="22"/>
        <v>1832551.165</v>
      </c>
      <c r="K89" s="49">
        <f t="shared" si="23"/>
        <v>0</v>
      </c>
      <c r="L89" s="49">
        <f t="shared" si="24"/>
        <v>0</v>
      </c>
      <c r="M89" s="49">
        <f t="shared" si="25"/>
        <v>0</v>
      </c>
      <c r="N89" s="49"/>
      <c r="O89" s="49">
        <v>0</v>
      </c>
      <c r="P89" s="49">
        <v>1831119.2</v>
      </c>
      <c r="Q89" s="49">
        <v>0</v>
      </c>
      <c r="R89" s="49">
        <v>0</v>
      </c>
      <c r="S89" s="49"/>
      <c r="T89" s="49"/>
      <c r="U89" s="49">
        <v>0</v>
      </c>
      <c r="V89" s="49">
        <v>1833983.13</v>
      </c>
      <c r="W89" s="49">
        <v>0</v>
      </c>
      <c r="X89" s="49">
        <v>0</v>
      </c>
      <c r="Y89" s="49">
        <v>0</v>
      </c>
      <c r="Z89" s="49"/>
    </row>
    <row r="90" spans="1:26" ht="12.75">
      <c r="A90" s="51">
        <f t="shared" si="26"/>
        <v>74</v>
      </c>
      <c r="B90" s="49" t="s">
        <v>374</v>
      </c>
      <c r="C90" s="49">
        <f t="shared" si="18"/>
        <v>7040.15</v>
      </c>
      <c r="D90" s="49">
        <f t="shared" si="19"/>
        <v>7639.33</v>
      </c>
      <c r="E90" s="49"/>
      <c r="F90" s="49"/>
      <c r="G90" s="49">
        <f t="shared" si="20"/>
        <v>7340</v>
      </c>
      <c r="H90" s="49"/>
      <c r="I90" s="49">
        <f t="shared" si="21"/>
        <v>236.97</v>
      </c>
      <c r="J90" s="49">
        <f t="shared" si="22"/>
        <v>3904.83</v>
      </c>
      <c r="K90" s="49">
        <f t="shared" si="23"/>
        <v>1561.7150000000001</v>
      </c>
      <c r="L90" s="49">
        <f t="shared" si="24"/>
        <v>1636.225</v>
      </c>
      <c r="M90" s="49">
        <f t="shared" si="25"/>
        <v>0</v>
      </c>
      <c r="N90" s="49"/>
      <c r="O90" s="49">
        <v>227.31</v>
      </c>
      <c r="P90" s="49">
        <v>3745.46</v>
      </c>
      <c r="Q90" s="49">
        <v>1497.96</v>
      </c>
      <c r="R90" s="49">
        <v>1569.42</v>
      </c>
      <c r="S90" s="49"/>
      <c r="T90" s="49"/>
      <c r="U90" s="49">
        <v>246.63</v>
      </c>
      <c r="V90" s="49">
        <v>4064.2</v>
      </c>
      <c r="W90" s="49">
        <v>1625.47</v>
      </c>
      <c r="X90" s="49">
        <v>1703.03</v>
      </c>
      <c r="Y90" s="49">
        <v>0</v>
      </c>
      <c r="Z90" s="49"/>
    </row>
    <row r="91" spans="1:26" ht="12.75">
      <c r="A91" s="51">
        <f t="shared" si="26"/>
        <v>75</v>
      </c>
      <c r="B91" s="49" t="s">
        <v>195</v>
      </c>
      <c r="C91" s="49">
        <f t="shared" si="18"/>
        <v>9589916.54</v>
      </c>
      <c r="D91" s="49">
        <f t="shared" si="19"/>
        <v>8802840.89</v>
      </c>
      <c r="E91" s="49"/>
      <c r="F91" s="49"/>
      <c r="G91" s="49">
        <f t="shared" si="20"/>
        <v>9196379</v>
      </c>
      <c r="H91" s="49"/>
      <c r="I91" s="49">
        <f t="shared" si="21"/>
        <v>1768834.045</v>
      </c>
      <c r="J91" s="49">
        <f t="shared" si="22"/>
        <v>3477108.675</v>
      </c>
      <c r="K91" s="49">
        <f t="shared" si="23"/>
        <v>638677.855</v>
      </c>
      <c r="L91" s="49">
        <f t="shared" si="24"/>
        <v>3311758.14</v>
      </c>
      <c r="M91" s="49">
        <f t="shared" si="25"/>
        <v>0</v>
      </c>
      <c r="N91" s="49"/>
      <c r="O91" s="49">
        <v>1867117.3</v>
      </c>
      <c r="P91" s="49">
        <v>3672972.47</v>
      </c>
      <c r="Q91" s="49">
        <v>648033.48</v>
      </c>
      <c r="R91" s="49">
        <v>3401793.29</v>
      </c>
      <c r="S91" s="49"/>
      <c r="T91" s="49"/>
      <c r="U91" s="49">
        <v>1670550.79</v>
      </c>
      <c r="V91" s="49">
        <v>3281244.88</v>
      </c>
      <c r="W91" s="49">
        <v>629322.23</v>
      </c>
      <c r="X91" s="49">
        <v>3221722.99</v>
      </c>
      <c r="Y91" s="49">
        <v>0</v>
      </c>
      <c r="Z91" s="49"/>
    </row>
    <row r="92" spans="1:26" ht="12.75">
      <c r="A92" s="51">
        <f t="shared" si="26"/>
        <v>76</v>
      </c>
      <c r="B92" s="49" t="s">
        <v>197</v>
      </c>
      <c r="C92" s="49">
        <f t="shared" si="18"/>
        <v>29454304.95</v>
      </c>
      <c r="D92" s="49">
        <f t="shared" si="19"/>
        <v>23834436.5</v>
      </c>
      <c r="E92" s="49"/>
      <c r="F92" s="49"/>
      <c r="G92" s="49">
        <f t="shared" si="20"/>
        <v>26644371</v>
      </c>
      <c r="H92" s="49"/>
      <c r="I92" s="49">
        <f t="shared" si="21"/>
        <v>5770702</v>
      </c>
      <c r="J92" s="49">
        <f t="shared" si="22"/>
        <v>9138920</v>
      </c>
      <c r="K92" s="49">
        <f t="shared" si="23"/>
        <v>1973876.2750000001</v>
      </c>
      <c r="L92" s="49">
        <f t="shared" si="24"/>
        <v>9760872.45</v>
      </c>
      <c r="M92" s="49">
        <f t="shared" si="25"/>
        <v>0</v>
      </c>
      <c r="N92" s="49"/>
      <c r="O92" s="49">
        <v>6336743.7</v>
      </c>
      <c r="P92" s="49">
        <v>10390597.35</v>
      </c>
      <c r="Q92" s="49">
        <v>2175929.7</v>
      </c>
      <c r="R92" s="49">
        <v>10551034.2</v>
      </c>
      <c r="S92" s="49"/>
      <c r="T92" s="49"/>
      <c r="U92" s="49">
        <v>5204660.3</v>
      </c>
      <c r="V92" s="49">
        <v>7887242.65</v>
      </c>
      <c r="W92" s="49">
        <v>1771822.85</v>
      </c>
      <c r="X92" s="49">
        <v>8970710.7</v>
      </c>
      <c r="Y92" s="49">
        <v>0</v>
      </c>
      <c r="Z92" s="49"/>
    </row>
    <row r="93" spans="1:26" ht="12.75">
      <c r="A93" s="51">
        <f t="shared" si="26"/>
        <v>77</v>
      </c>
      <c r="B93" s="49" t="s">
        <v>375</v>
      </c>
      <c r="C93" s="49">
        <f t="shared" si="18"/>
        <v>2334728.1899999995</v>
      </c>
      <c r="D93" s="49">
        <f t="shared" si="19"/>
        <v>2070733.31</v>
      </c>
      <c r="E93" s="49"/>
      <c r="F93" s="49"/>
      <c r="G93" s="49">
        <f t="shared" si="20"/>
        <v>2202731</v>
      </c>
      <c r="H93" s="49"/>
      <c r="I93" s="49">
        <f t="shared" si="21"/>
        <v>633499.5900000001</v>
      </c>
      <c r="J93" s="49">
        <f t="shared" si="22"/>
        <v>684417.395</v>
      </c>
      <c r="K93" s="49">
        <f t="shared" si="23"/>
        <v>241552.35499999998</v>
      </c>
      <c r="L93" s="49">
        <f t="shared" si="24"/>
        <v>643261.4099999999</v>
      </c>
      <c r="M93" s="49">
        <f t="shared" si="25"/>
        <v>0</v>
      </c>
      <c r="N93" s="49"/>
      <c r="O93" s="49">
        <v>583495.88</v>
      </c>
      <c r="P93" s="49">
        <v>829201.75</v>
      </c>
      <c r="Q93" s="49">
        <v>245398.86</v>
      </c>
      <c r="R93" s="49">
        <v>676631.7</v>
      </c>
      <c r="S93" s="49"/>
      <c r="T93" s="49"/>
      <c r="U93" s="49">
        <v>683503.3</v>
      </c>
      <c r="V93" s="49">
        <v>539633.04</v>
      </c>
      <c r="W93" s="49">
        <v>237705.85</v>
      </c>
      <c r="X93" s="49">
        <v>609891.12</v>
      </c>
      <c r="Y93" s="49">
        <v>0</v>
      </c>
      <c r="Z93" s="49"/>
    </row>
    <row r="94" spans="1:26" ht="12.75">
      <c r="A94" s="51">
        <f t="shared" si="26"/>
        <v>78</v>
      </c>
      <c r="B94" s="49" t="s">
        <v>376</v>
      </c>
      <c r="C94" s="49">
        <f t="shared" si="18"/>
        <v>0.02</v>
      </c>
      <c r="D94" s="49">
        <f t="shared" si="19"/>
        <v>0</v>
      </c>
      <c r="E94" s="49"/>
      <c r="F94" s="49"/>
      <c r="G94" s="49">
        <f t="shared" si="20"/>
        <v>0</v>
      </c>
      <c r="H94" s="49"/>
      <c r="I94" s="49">
        <f t="shared" si="21"/>
        <v>0</v>
      </c>
      <c r="J94" s="49">
        <f t="shared" si="22"/>
        <v>0</v>
      </c>
      <c r="K94" s="49">
        <f t="shared" si="23"/>
        <v>0</v>
      </c>
      <c r="L94" s="49">
        <f t="shared" si="24"/>
        <v>0.01</v>
      </c>
      <c r="M94" s="49">
        <f t="shared" si="25"/>
        <v>0</v>
      </c>
      <c r="N94" s="49"/>
      <c r="O94" s="49">
        <v>0</v>
      </c>
      <c r="P94" s="49">
        <v>0</v>
      </c>
      <c r="Q94" s="49">
        <v>0</v>
      </c>
      <c r="R94" s="49">
        <v>0.02</v>
      </c>
      <c r="S94" s="49"/>
      <c r="T94" s="49"/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/>
    </row>
    <row r="95" spans="1:26" ht="12.75">
      <c r="A95" s="51">
        <f t="shared" si="26"/>
        <v>79</v>
      </c>
      <c r="B95" s="49" t="s">
        <v>199</v>
      </c>
      <c r="C95" s="49">
        <f t="shared" si="18"/>
        <v>354592554.33</v>
      </c>
      <c r="D95" s="49">
        <f t="shared" si="19"/>
        <v>337059998.62</v>
      </c>
      <c r="E95" s="49"/>
      <c r="F95" s="49"/>
      <c r="G95" s="49">
        <f t="shared" si="20"/>
        <v>345826276</v>
      </c>
      <c r="H95" s="49"/>
      <c r="I95" s="49">
        <f t="shared" si="21"/>
        <v>9299816.425</v>
      </c>
      <c r="J95" s="49">
        <f t="shared" si="22"/>
        <v>336307549.96000004</v>
      </c>
      <c r="K95" s="49">
        <f t="shared" si="23"/>
        <v>19820.965</v>
      </c>
      <c r="L95" s="49">
        <f t="shared" si="24"/>
        <v>199089.125</v>
      </c>
      <c r="M95" s="49">
        <f t="shared" si="25"/>
        <v>0</v>
      </c>
      <c r="N95" s="49"/>
      <c r="O95" s="49">
        <v>9409684.96</v>
      </c>
      <c r="P95" s="49">
        <v>344962150.85</v>
      </c>
      <c r="Q95" s="49">
        <v>17349.62</v>
      </c>
      <c r="R95" s="49">
        <v>203368.9</v>
      </c>
      <c r="S95" s="49"/>
      <c r="T95" s="49"/>
      <c r="U95" s="49">
        <v>9189947.89</v>
      </c>
      <c r="V95" s="49">
        <v>327652949.07</v>
      </c>
      <c r="W95" s="49">
        <v>22292.31</v>
      </c>
      <c r="X95" s="49">
        <v>194809.35</v>
      </c>
      <c r="Y95" s="49">
        <v>0</v>
      </c>
      <c r="Z95" s="49"/>
    </row>
    <row r="96" spans="1:26" ht="12.75">
      <c r="A96" s="51">
        <f t="shared" si="26"/>
        <v>80</v>
      </c>
      <c r="B96" s="49" t="s">
        <v>377</v>
      </c>
      <c r="C96" s="49">
        <f t="shared" si="18"/>
        <v>4366960</v>
      </c>
      <c r="D96" s="49">
        <f t="shared" si="19"/>
        <v>4763944</v>
      </c>
      <c r="E96" s="49"/>
      <c r="F96" s="49"/>
      <c r="G96" s="49">
        <f t="shared" si="20"/>
        <v>4565452</v>
      </c>
      <c r="H96" s="49"/>
      <c r="I96" s="49">
        <f t="shared" si="21"/>
        <v>4565452</v>
      </c>
      <c r="J96" s="49">
        <f t="shared" si="22"/>
        <v>0</v>
      </c>
      <c r="K96" s="49">
        <f t="shared" si="23"/>
        <v>0</v>
      </c>
      <c r="L96" s="49">
        <f t="shared" si="24"/>
        <v>0</v>
      </c>
      <c r="M96" s="49">
        <f t="shared" si="25"/>
        <v>0</v>
      </c>
      <c r="N96" s="49"/>
      <c r="O96" s="49">
        <v>4366960</v>
      </c>
      <c r="P96" s="49">
        <v>0</v>
      </c>
      <c r="Q96" s="49">
        <v>0</v>
      </c>
      <c r="R96" s="49">
        <v>0</v>
      </c>
      <c r="S96" s="49"/>
      <c r="T96" s="49"/>
      <c r="U96" s="49">
        <v>4763944</v>
      </c>
      <c r="V96" s="49">
        <v>0</v>
      </c>
      <c r="W96" s="49">
        <v>0</v>
      </c>
      <c r="X96" s="49">
        <v>0</v>
      </c>
      <c r="Y96" s="49">
        <v>0</v>
      </c>
      <c r="Z96" s="49"/>
    </row>
    <row r="97" spans="1:26" ht="12.75">
      <c r="A97" s="51">
        <f t="shared" si="26"/>
        <v>81</v>
      </c>
      <c r="B97" s="49" t="s">
        <v>204</v>
      </c>
      <c r="C97" s="49">
        <f t="shared" si="18"/>
        <v>-201014.75</v>
      </c>
      <c r="D97" s="49">
        <f t="shared" si="19"/>
        <v>-15250.75</v>
      </c>
      <c r="E97" s="49"/>
      <c r="F97" s="49"/>
      <c r="G97" s="49">
        <f t="shared" si="20"/>
        <v>-108133</v>
      </c>
      <c r="H97" s="49"/>
      <c r="I97" s="49">
        <f t="shared" si="21"/>
        <v>-201014.75</v>
      </c>
      <c r="J97" s="49">
        <f t="shared" si="22"/>
        <v>-82359</v>
      </c>
      <c r="K97" s="49">
        <f t="shared" si="23"/>
        <v>87708</v>
      </c>
      <c r="L97" s="49">
        <f t="shared" si="24"/>
        <v>87533</v>
      </c>
      <c r="M97" s="49">
        <f t="shared" si="25"/>
        <v>0</v>
      </c>
      <c r="N97" s="49"/>
      <c r="O97" s="49">
        <f>-376080.75+175066</f>
        <v>-201014.75</v>
      </c>
      <c r="P97" s="49">
        <f>164718-164718</f>
        <v>0</v>
      </c>
      <c r="Q97" s="49">
        <f>-175416+175416</f>
        <v>0</v>
      </c>
      <c r="R97" s="49">
        <f>-175066+175066</f>
        <v>0</v>
      </c>
      <c r="S97" s="49"/>
      <c r="T97" s="49"/>
      <c r="U97" s="49">
        <f>-376080.75+175066</f>
        <v>-201014.75</v>
      </c>
      <c r="V97" s="49">
        <v>-164718</v>
      </c>
      <c r="W97" s="49">
        <v>175416</v>
      </c>
      <c r="X97" s="49">
        <f>175066</f>
        <v>175066</v>
      </c>
      <c r="Y97" s="49">
        <v>0</v>
      </c>
      <c r="Z97" s="49"/>
    </row>
    <row r="98" spans="1:26" ht="12.75">
      <c r="A98" s="51">
        <f t="shared" si="26"/>
        <v>82</v>
      </c>
      <c r="B98" s="49" t="s">
        <v>205</v>
      </c>
      <c r="C98" s="49">
        <f t="shared" si="18"/>
        <v>0</v>
      </c>
      <c r="D98" s="49">
        <f t="shared" si="19"/>
        <v>0</v>
      </c>
      <c r="E98" s="49"/>
      <c r="F98" s="49"/>
      <c r="G98" s="49">
        <f t="shared" si="20"/>
        <v>0</v>
      </c>
      <c r="H98" s="49"/>
      <c r="I98" s="49">
        <f t="shared" si="21"/>
        <v>0</v>
      </c>
      <c r="J98" s="49">
        <f t="shared" si="22"/>
        <v>0</v>
      </c>
      <c r="K98" s="49">
        <f t="shared" si="23"/>
        <v>0</v>
      </c>
      <c r="L98" s="49">
        <f t="shared" si="24"/>
        <v>0</v>
      </c>
      <c r="M98" s="49">
        <f t="shared" si="25"/>
        <v>0</v>
      </c>
      <c r="N98" s="49"/>
      <c r="O98" s="49">
        <f>-195300+195300</f>
        <v>0</v>
      </c>
      <c r="P98" s="49">
        <v>0</v>
      </c>
      <c r="Q98" s="49">
        <f>-195650+195650</f>
        <v>0</v>
      </c>
      <c r="R98" s="49">
        <f>-195650+195650</f>
        <v>0</v>
      </c>
      <c r="S98" s="49"/>
      <c r="T98" s="49"/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/>
    </row>
    <row r="99" spans="1:26" ht="12.75">
      <c r="A99" s="51">
        <f t="shared" si="26"/>
        <v>83</v>
      </c>
      <c r="B99" s="49" t="s">
        <v>378</v>
      </c>
      <c r="C99" s="49">
        <f t="shared" si="18"/>
        <v>1056730.46</v>
      </c>
      <c r="D99" s="49">
        <f t="shared" si="19"/>
        <v>732962.26</v>
      </c>
      <c r="E99" s="49"/>
      <c r="F99" s="49"/>
      <c r="G99" s="49">
        <f t="shared" si="20"/>
        <v>894846</v>
      </c>
      <c r="H99" s="49"/>
      <c r="I99" s="49">
        <f t="shared" si="21"/>
        <v>-410525.26</v>
      </c>
      <c r="J99" s="49">
        <f t="shared" si="22"/>
        <v>614947.6900000001</v>
      </c>
      <c r="K99" s="49">
        <f t="shared" si="23"/>
        <v>4824.989999999998</v>
      </c>
      <c r="L99" s="49">
        <f t="shared" si="24"/>
        <v>685598.94</v>
      </c>
      <c r="M99" s="49">
        <f t="shared" si="25"/>
        <v>0</v>
      </c>
      <c r="N99" s="49"/>
      <c r="O99" s="49">
        <f>-77760.81+92607</f>
        <v>14846.190000000002</v>
      </c>
      <c r="P99" s="49">
        <f>525211.29+184865</f>
        <v>710076.29</v>
      </c>
      <c r="Q99" s="49">
        <f>-92786.31+92607</f>
        <v>-179.30999999999767</v>
      </c>
      <c r="R99" s="49">
        <f>175739.29+156248</f>
        <v>331987.29000000004</v>
      </c>
      <c r="S99" s="49"/>
      <c r="T99" s="49"/>
      <c r="U99" s="49">
        <f>-928503.71+92607</f>
        <v>-835896.71</v>
      </c>
      <c r="V99" s="49">
        <f>334954.09+184865</f>
        <v>519819.09</v>
      </c>
      <c r="W99" s="49">
        <f>-82777.71+92607</f>
        <v>9829.289999999994</v>
      </c>
      <c r="X99" s="49">
        <f>882962.59+156248</f>
        <v>1039210.59</v>
      </c>
      <c r="Y99" s="49">
        <v>0</v>
      </c>
      <c r="Z99" s="49"/>
    </row>
    <row r="100" spans="1:26" ht="12.75">
      <c r="A100" s="51">
        <f t="shared" si="26"/>
        <v>84</v>
      </c>
      <c r="B100" s="49" t="s">
        <v>379</v>
      </c>
      <c r="C100" s="49">
        <f t="shared" si="18"/>
        <v>-271443.55000000005</v>
      </c>
      <c r="D100" s="49">
        <f t="shared" si="19"/>
        <v>-534673.65</v>
      </c>
      <c r="E100" s="49"/>
      <c r="F100" s="49"/>
      <c r="G100" s="49">
        <f t="shared" si="20"/>
        <v>-403059</v>
      </c>
      <c r="H100" s="49"/>
      <c r="I100" s="49">
        <f t="shared" si="21"/>
        <v>-113249.325</v>
      </c>
      <c r="J100" s="49">
        <f t="shared" si="22"/>
        <v>-618328.55</v>
      </c>
      <c r="K100" s="49">
        <f t="shared" si="23"/>
        <v>55028.575</v>
      </c>
      <c r="L100" s="49">
        <f t="shared" si="24"/>
        <v>273490.7</v>
      </c>
      <c r="M100" s="49">
        <f t="shared" si="25"/>
        <v>0</v>
      </c>
      <c r="N100" s="49"/>
      <c r="O100" s="49">
        <f>-411526.5</f>
        <v>-411526.5</v>
      </c>
      <c r="P100" s="49">
        <f>-584141.6</f>
        <v>-584141.6</v>
      </c>
      <c r="Q100" s="49">
        <f>53403.7</f>
        <v>53403.7</v>
      </c>
      <c r="R100" s="49">
        <f>670820.85</f>
        <v>670820.85</v>
      </c>
      <c r="S100" s="49"/>
      <c r="T100" s="49"/>
      <c r="U100" s="49">
        <v>185027.85</v>
      </c>
      <c r="V100" s="49">
        <v>-652515.5</v>
      </c>
      <c r="W100" s="49">
        <v>56653.45</v>
      </c>
      <c r="X100" s="49">
        <v>-123839.45</v>
      </c>
      <c r="Y100" s="49">
        <v>0</v>
      </c>
      <c r="Z100" s="49"/>
    </row>
    <row r="101" spans="1:26" ht="12.75">
      <c r="A101" s="51">
        <f t="shared" si="26"/>
        <v>85</v>
      </c>
      <c r="B101" s="49" t="s">
        <v>380</v>
      </c>
      <c r="C101" s="49">
        <f t="shared" si="18"/>
        <v>27640348.5</v>
      </c>
      <c r="D101" s="49">
        <f t="shared" si="19"/>
        <v>33937163.15</v>
      </c>
      <c r="E101" s="49"/>
      <c r="F101" s="49"/>
      <c r="G101" s="49">
        <f t="shared" si="20"/>
        <v>30788756</v>
      </c>
      <c r="H101" s="49"/>
      <c r="I101" s="49">
        <f t="shared" si="21"/>
        <v>5600000</v>
      </c>
      <c r="J101" s="49">
        <f t="shared" si="22"/>
        <v>25188755.825</v>
      </c>
      <c r="K101" s="49">
        <f t="shared" si="23"/>
        <v>0</v>
      </c>
      <c r="L101" s="49">
        <f t="shared" si="24"/>
        <v>0</v>
      </c>
      <c r="M101" s="49">
        <f t="shared" si="25"/>
        <v>0</v>
      </c>
      <c r="N101" s="49"/>
      <c r="O101" s="49">
        <v>5600000</v>
      </c>
      <c r="P101" s="49">
        <v>22040348.5</v>
      </c>
      <c r="Q101" s="49">
        <v>0</v>
      </c>
      <c r="R101" s="49">
        <v>0</v>
      </c>
      <c r="S101" s="49"/>
      <c r="T101" s="49"/>
      <c r="U101" s="49">
        <v>5600000</v>
      </c>
      <c r="V101" s="49">
        <v>28337163.15</v>
      </c>
      <c r="W101" s="49">
        <v>0</v>
      </c>
      <c r="X101" s="49">
        <v>0</v>
      </c>
      <c r="Y101" s="49">
        <v>0</v>
      </c>
      <c r="Z101" s="49"/>
    </row>
    <row r="102" spans="1:26" ht="12.75">
      <c r="A102" s="51">
        <f t="shared" si="26"/>
        <v>86</v>
      </c>
      <c r="B102" s="49" t="s">
        <v>381</v>
      </c>
      <c r="C102" s="49">
        <f t="shared" si="18"/>
        <v>0.35</v>
      </c>
      <c r="D102" s="49">
        <f t="shared" si="19"/>
        <v>0.35</v>
      </c>
      <c r="E102" s="49"/>
      <c r="F102" s="49"/>
      <c r="G102" s="49">
        <f t="shared" si="20"/>
        <v>0</v>
      </c>
      <c r="H102" s="49"/>
      <c r="I102" s="49">
        <f t="shared" si="21"/>
        <v>0</v>
      </c>
      <c r="J102" s="49">
        <f t="shared" si="22"/>
        <v>0</v>
      </c>
      <c r="K102" s="49">
        <f t="shared" si="23"/>
        <v>0</v>
      </c>
      <c r="L102" s="49">
        <f t="shared" si="24"/>
        <v>0.35</v>
      </c>
      <c r="M102" s="49">
        <f t="shared" si="25"/>
        <v>0</v>
      </c>
      <c r="N102" s="49"/>
      <c r="O102" s="49">
        <v>0</v>
      </c>
      <c r="P102" s="49">
        <v>0</v>
      </c>
      <c r="Q102" s="49">
        <v>0</v>
      </c>
      <c r="R102" s="49">
        <v>0.35</v>
      </c>
      <c r="S102" s="49"/>
      <c r="T102" s="49"/>
      <c r="U102" s="49">
        <v>0</v>
      </c>
      <c r="V102" s="49">
        <v>0</v>
      </c>
      <c r="W102" s="49">
        <v>0</v>
      </c>
      <c r="X102" s="49">
        <v>0.35</v>
      </c>
      <c r="Y102" s="49">
        <v>0</v>
      </c>
      <c r="Z102" s="49"/>
    </row>
    <row r="103" spans="1:26" ht="12.75">
      <c r="A103" s="51">
        <f t="shared" si="26"/>
        <v>87</v>
      </c>
      <c r="B103" s="49" t="s">
        <v>382</v>
      </c>
      <c r="C103" s="49">
        <f t="shared" si="18"/>
        <v>0.05</v>
      </c>
      <c r="D103" s="49">
        <f t="shared" si="19"/>
        <v>0.05</v>
      </c>
      <c r="E103" s="49"/>
      <c r="F103" s="49"/>
      <c r="G103" s="49">
        <f t="shared" si="20"/>
        <v>0</v>
      </c>
      <c r="H103" s="49"/>
      <c r="I103" s="49">
        <f t="shared" si="21"/>
        <v>0</v>
      </c>
      <c r="J103" s="49">
        <f t="shared" si="22"/>
        <v>0</v>
      </c>
      <c r="K103" s="49">
        <f t="shared" si="23"/>
        <v>0</v>
      </c>
      <c r="L103" s="49">
        <f t="shared" si="24"/>
        <v>0.05</v>
      </c>
      <c r="M103" s="49">
        <f t="shared" si="25"/>
        <v>0</v>
      </c>
      <c r="N103" s="49"/>
      <c r="O103" s="49">
        <v>0</v>
      </c>
      <c r="P103" s="49">
        <v>0</v>
      </c>
      <c r="Q103" s="49">
        <v>0</v>
      </c>
      <c r="R103" s="49">
        <v>0.05</v>
      </c>
      <c r="S103" s="49"/>
      <c r="T103" s="49"/>
      <c r="U103" s="49">
        <v>0</v>
      </c>
      <c r="V103" s="49">
        <v>0</v>
      </c>
      <c r="W103" s="49">
        <v>0</v>
      </c>
      <c r="X103" s="49">
        <v>0.05</v>
      </c>
      <c r="Y103" s="49">
        <v>0</v>
      </c>
      <c r="Z103" s="49"/>
    </row>
    <row r="104" spans="1:26" ht="12.75">
      <c r="A104" s="51">
        <f t="shared" si="26"/>
        <v>88</v>
      </c>
      <c r="B104" s="49" t="s">
        <v>209</v>
      </c>
      <c r="C104" s="49">
        <f t="shared" si="18"/>
        <v>0.05</v>
      </c>
      <c r="D104" s="49">
        <f t="shared" si="19"/>
        <v>0.05</v>
      </c>
      <c r="E104" s="49"/>
      <c r="F104" s="49"/>
      <c r="G104" s="49">
        <f t="shared" si="20"/>
        <v>0</v>
      </c>
      <c r="H104" s="49"/>
      <c r="I104" s="49">
        <f t="shared" si="21"/>
        <v>0</v>
      </c>
      <c r="J104" s="49">
        <f t="shared" si="22"/>
        <v>0</v>
      </c>
      <c r="K104" s="49">
        <f t="shared" si="23"/>
        <v>0</v>
      </c>
      <c r="L104" s="49">
        <f t="shared" si="24"/>
        <v>0.05</v>
      </c>
      <c r="M104" s="49">
        <f t="shared" si="25"/>
        <v>0</v>
      </c>
      <c r="N104" s="49"/>
      <c r="O104" s="49">
        <v>0</v>
      </c>
      <c r="P104" s="49">
        <v>0</v>
      </c>
      <c r="Q104" s="49">
        <v>0</v>
      </c>
      <c r="R104" s="49">
        <v>0.05</v>
      </c>
      <c r="S104" s="49"/>
      <c r="T104" s="49"/>
      <c r="U104" s="49">
        <v>0</v>
      </c>
      <c r="V104" s="49">
        <v>0</v>
      </c>
      <c r="W104" s="49">
        <v>0</v>
      </c>
      <c r="X104" s="49">
        <v>0.05</v>
      </c>
      <c r="Y104" s="49">
        <v>0</v>
      </c>
      <c r="Z104" s="49"/>
    </row>
    <row r="105" spans="1:26" ht="12.75">
      <c r="A105" s="51">
        <f t="shared" si="26"/>
        <v>89</v>
      </c>
      <c r="B105" s="49" t="s">
        <v>383</v>
      </c>
      <c r="C105" s="49">
        <f t="shared" si="18"/>
        <v>0.4</v>
      </c>
      <c r="D105" s="49">
        <f t="shared" si="19"/>
        <v>0.4</v>
      </c>
      <c r="E105" s="49"/>
      <c r="F105" s="49"/>
      <c r="G105" s="49">
        <f t="shared" si="20"/>
        <v>0</v>
      </c>
      <c r="H105" s="49"/>
      <c r="I105" s="49">
        <f t="shared" si="21"/>
        <v>0</v>
      </c>
      <c r="J105" s="49">
        <f t="shared" si="22"/>
        <v>0</v>
      </c>
      <c r="K105" s="49">
        <f t="shared" si="23"/>
        <v>0</v>
      </c>
      <c r="L105" s="49">
        <f t="shared" si="24"/>
        <v>0.4</v>
      </c>
      <c r="M105" s="49">
        <f t="shared" si="25"/>
        <v>0</v>
      </c>
      <c r="N105" s="49"/>
      <c r="O105" s="49">
        <v>0</v>
      </c>
      <c r="P105" s="49">
        <v>0</v>
      </c>
      <c r="Q105" s="49">
        <v>0</v>
      </c>
      <c r="R105" s="49">
        <v>0.4</v>
      </c>
      <c r="S105" s="49"/>
      <c r="T105" s="49"/>
      <c r="U105" s="49">
        <v>0</v>
      </c>
      <c r="V105" s="49">
        <v>0</v>
      </c>
      <c r="W105" s="49">
        <v>0</v>
      </c>
      <c r="X105" s="49">
        <v>0.4</v>
      </c>
      <c r="Y105" s="49">
        <v>0</v>
      </c>
      <c r="Z105" s="49"/>
    </row>
    <row r="106" spans="1:26" ht="12.75">
      <c r="A106" s="51">
        <f t="shared" si="26"/>
        <v>90</v>
      </c>
      <c r="B106" s="49" t="s">
        <v>210</v>
      </c>
      <c r="C106" s="49">
        <f t="shared" si="18"/>
        <v>-407875.23</v>
      </c>
      <c r="D106" s="49">
        <f t="shared" si="19"/>
        <v>-392727.23</v>
      </c>
      <c r="E106" s="49"/>
      <c r="F106" s="49"/>
      <c r="G106" s="49">
        <f t="shared" si="20"/>
        <v>-400301</v>
      </c>
      <c r="H106" s="49"/>
      <c r="I106" s="49">
        <f t="shared" si="21"/>
        <v>0</v>
      </c>
      <c r="J106" s="49">
        <f t="shared" si="22"/>
        <v>0</v>
      </c>
      <c r="K106" s="49">
        <f t="shared" si="23"/>
        <v>0</v>
      </c>
      <c r="L106" s="49">
        <f t="shared" si="24"/>
        <v>-400301.23</v>
      </c>
      <c r="M106" s="49">
        <f t="shared" si="25"/>
        <v>0</v>
      </c>
      <c r="N106" s="49"/>
      <c r="O106" s="49">
        <v>0</v>
      </c>
      <c r="P106" s="49">
        <v>0</v>
      </c>
      <c r="Q106" s="49">
        <v>0</v>
      </c>
      <c r="R106" s="49">
        <v>-407875.23</v>
      </c>
      <c r="S106" s="49"/>
      <c r="T106" s="49"/>
      <c r="U106" s="49">
        <v>0</v>
      </c>
      <c r="V106" s="49">
        <v>0</v>
      </c>
      <c r="W106" s="49">
        <v>0</v>
      </c>
      <c r="X106" s="49">
        <v>-392727.23</v>
      </c>
      <c r="Y106" s="49">
        <v>0</v>
      </c>
      <c r="Z106" s="49"/>
    </row>
    <row r="107" spans="1:26" ht="12.75">
      <c r="A107" s="51">
        <f t="shared" si="26"/>
        <v>91</v>
      </c>
      <c r="B107" s="49" t="s">
        <v>384</v>
      </c>
      <c r="C107" s="49">
        <f t="shared" si="18"/>
        <v>0.05</v>
      </c>
      <c r="D107" s="49">
        <f t="shared" si="19"/>
        <v>0.05</v>
      </c>
      <c r="E107" s="49"/>
      <c r="F107" s="49"/>
      <c r="G107" s="49">
        <f t="shared" si="20"/>
        <v>0</v>
      </c>
      <c r="H107" s="49"/>
      <c r="I107" s="49">
        <f t="shared" si="21"/>
        <v>0</v>
      </c>
      <c r="J107" s="49">
        <f t="shared" si="22"/>
        <v>0</v>
      </c>
      <c r="K107" s="49">
        <f t="shared" si="23"/>
        <v>0</v>
      </c>
      <c r="L107" s="49">
        <f t="shared" si="24"/>
        <v>0.05</v>
      </c>
      <c r="M107" s="49">
        <f t="shared" si="25"/>
        <v>0</v>
      </c>
      <c r="N107" s="49"/>
      <c r="O107" s="49">
        <v>0</v>
      </c>
      <c r="P107" s="49">
        <v>0</v>
      </c>
      <c r="Q107" s="49">
        <v>0</v>
      </c>
      <c r="R107" s="49">
        <v>0.05</v>
      </c>
      <c r="S107" s="49"/>
      <c r="T107" s="49"/>
      <c r="U107" s="49">
        <v>0</v>
      </c>
      <c r="V107" s="49">
        <v>0</v>
      </c>
      <c r="W107" s="49">
        <v>0</v>
      </c>
      <c r="X107" s="49">
        <v>0.05</v>
      </c>
      <c r="Y107" s="49">
        <v>0</v>
      </c>
      <c r="Z107" s="49"/>
    </row>
    <row r="108" spans="1:26" ht="12.75">
      <c r="A108" s="51">
        <f t="shared" si="26"/>
        <v>92</v>
      </c>
      <c r="B108" s="49" t="s">
        <v>385</v>
      </c>
      <c r="C108" s="49">
        <f t="shared" si="18"/>
        <v>3821566</v>
      </c>
      <c r="D108" s="49">
        <f t="shared" si="19"/>
        <v>4948014.75</v>
      </c>
      <c r="E108" s="49"/>
      <c r="F108" s="49"/>
      <c r="G108" s="49">
        <f t="shared" si="20"/>
        <v>4384790</v>
      </c>
      <c r="H108" s="49"/>
      <c r="I108" s="49">
        <f t="shared" si="21"/>
        <v>0</v>
      </c>
      <c r="J108" s="49">
        <f t="shared" si="22"/>
        <v>0</v>
      </c>
      <c r="K108" s="49">
        <f t="shared" si="23"/>
        <v>0</v>
      </c>
      <c r="L108" s="49">
        <f t="shared" si="24"/>
        <v>4384790.375</v>
      </c>
      <c r="M108" s="49">
        <f t="shared" si="25"/>
        <v>0</v>
      </c>
      <c r="N108" s="49"/>
      <c r="O108" s="49">
        <v>0</v>
      </c>
      <c r="P108" s="49">
        <v>0</v>
      </c>
      <c r="Q108" s="49">
        <v>0</v>
      </c>
      <c r="R108" s="49">
        <v>3821566</v>
      </c>
      <c r="S108" s="49"/>
      <c r="T108" s="49"/>
      <c r="U108" s="49">
        <v>0</v>
      </c>
      <c r="V108" s="49">
        <v>0</v>
      </c>
      <c r="W108" s="49">
        <v>0</v>
      </c>
      <c r="X108" s="49">
        <v>4948014.75</v>
      </c>
      <c r="Y108" s="49">
        <v>0</v>
      </c>
      <c r="Z108" s="49"/>
    </row>
    <row r="109" spans="1:26" ht="12.75">
      <c r="A109" s="51">
        <f t="shared" si="26"/>
        <v>93</v>
      </c>
      <c r="B109" s="49" t="s">
        <v>213</v>
      </c>
      <c r="C109" s="49">
        <f t="shared" si="18"/>
        <v>-6625190.100000001</v>
      </c>
      <c r="D109" s="49">
        <f t="shared" si="19"/>
        <v>-2642356.7</v>
      </c>
      <c r="E109" s="49"/>
      <c r="F109" s="49"/>
      <c r="G109" s="49">
        <f t="shared" si="20"/>
        <v>-4633773</v>
      </c>
      <c r="H109" s="49"/>
      <c r="I109" s="49">
        <f t="shared" si="21"/>
        <v>-610861.6499999999</v>
      </c>
      <c r="J109" s="49">
        <f t="shared" si="22"/>
        <v>-3828987.75</v>
      </c>
      <c r="K109" s="49">
        <f t="shared" si="23"/>
        <v>-58284.854999999996</v>
      </c>
      <c r="L109" s="49">
        <f t="shared" si="24"/>
        <v>-135639.14500000002</v>
      </c>
      <c r="M109" s="49">
        <f t="shared" si="25"/>
        <v>0</v>
      </c>
      <c r="N109" s="49"/>
      <c r="O109" s="49">
        <v>85846.6</v>
      </c>
      <c r="P109" s="49">
        <v>-6405922.25</v>
      </c>
      <c r="Q109" s="49">
        <v>-84307.53</v>
      </c>
      <c r="R109" s="49">
        <v>-220806.92</v>
      </c>
      <c r="S109" s="49"/>
      <c r="T109" s="49"/>
      <c r="U109" s="49">
        <v>-1307569.9</v>
      </c>
      <c r="V109" s="49">
        <v>-1252053.25</v>
      </c>
      <c r="W109" s="49">
        <v>-32262.18</v>
      </c>
      <c r="X109" s="49">
        <v>-50471.37</v>
      </c>
      <c r="Y109" s="49">
        <v>0</v>
      </c>
      <c r="Z109" s="49"/>
    </row>
    <row r="110" spans="1:26" ht="12.75">
      <c r="A110" s="51">
        <f t="shared" si="26"/>
        <v>94</v>
      </c>
      <c r="B110" s="49" t="s">
        <v>386</v>
      </c>
      <c r="C110" s="49">
        <f t="shared" si="18"/>
        <v>-0.1</v>
      </c>
      <c r="D110" s="49">
        <f t="shared" si="19"/>
        <v>-0.1</v>
      </c>
      <c r="E110" s="49"/>
      <c r="F110" s="49"/>
      <c r="G110" s="49">
        <f t="shared" si="20"/>
        <v>0</v>
      </c>
      <c r="H110" s="49"/>
      <c r="I110" s="49">
        <f t="shared" si="21"/>
        <v>0</v>
      </c>
      <c r="J110" s="49">
        <f t="shared" si="22"/>
        <v>0</v>
      </c>
      <c r="K110" s="49">
        <f t="shared" si="23"/>
        <v>0</v>
      </c>
      <c r="L110" s="49">
        <f t="shared" si="24"/>
        <v>-0.1</v>
      </c>
      <c r="M110" s="49">
        <f t="shared" si="25"/>
        <v>0</v>
      </c>
      <c r="N110" s="49"/>
      <c r="O110" s="49">
        <v>0</v>
      </c>
      <c r="P110" s="49">
        <v>0</v>
      </c>
      <c r="Q110" s="49">
        <v>0</v>
      </c>
      <c r="R110" s="49">
        <v>-0.1</v>
      </c>
      <c r="S110" s="49"/>
      <c r="T110" s="49"/>
      <c r="U110" s="49">
        <v>0</v>
      </c>
      <c r="V110" s="49">
        <v>0</v>
      </c>
      <c r="W110" s="49">
        <v>0</v>
      </c>
      <c r="X110" s="49">
        <v>-0.1</v>
      </c>
      <c r="Y110" s="49">
        <v>0</v>
      </c>
      <c r="Z110" s="49"/>
    </row>
    <row r="111" spans="1:26" ht="12.75">
      <c r="A111" s="51">
        <f t="shared" si="26"/>
        <v>95</v>
      </c>
      <c r="B111" s="49" t="s">
        <v>387</v>
      </c>
      <c r="C111" s="49">
        <f t="shared" si="18"/>
        <v>0</v>
      </c>
      <c r="D111" s="49">
        <f t="shared" si="19"/>
        <v>0</v>
      </c>
      <c r="E111" s="49"/>
      <c r="F111" s="49"/>
      <c r="G111" s="49">
        <f t="shared" si="20"/>
        <v>0</v>
      </c>
      <c r="H111" s="49"/>
      <c r="I111" s="49">
        <f t="shared" si="21"/>
        <v>0</v>
      </c>
      <c r="J111" s="49">
        <f t="shared" si="22"/>
        <v>0</v>
      </c>
      <c r="K111" s="49">
        <f t="shared" si="23"/>
        <v>0</v>
      </c>
      <c r="L111" s="49">
        <f t="shared" si="24"/>
        <v>0</v>
      </c>
      <c r="M111" s="49">
        <f t="shared" si="25"/>
        <v>0</v>
      </c>
      <c r="N111" s="49"/>
      <c r="O111" s="49">
        <v>0</v>
      </c>
      <c r="P111" s="49">
        <v>0</v>
      </c>
      <c r="Q111" s="49">
        <v>0</v>
      </c>
      <c r="R111" s="49">
        <v>0</v>
      </c>
      <c r="S111" s="49"/>
      <c r="T111" s="49"/>
      <c r="U111" s="49">
        <v>0</v>
      </c>
      <c r="V111" s="49">
        <v>0</v>
      </c>
      <c r="W111" s="49">
        <v>0</v>
      </c>
      <c r="X111" s="49">
        <v>0</v>
      </c>
      <c r="Y111" s="49">
        <v>0</v>
      </c>
      <c r="Z111" s="49"/>
    </row>
    <row r="112" spans="1:26" ht="12.75">
      <c r="A112" s="51">
        <f t="shared" si="26"/>
        <v>96</v>
      </c>
      <c r="B112" s="49" t="s">
        <v>388</v>
      </c>
      <c r="C112" s="49">
        <f t="shared" si="18"/>
        <v>-75968.54999999997</v>
      </c>
      <c r="D112" s="49">
        <f t="shared" si="19"/>
        <v>-111211.45</v>
      </c>
      <c r="E112" s="49"/>
      <c r="F112" s="49"/>
      <c r="G112" s="49">
        <f t="shared" si="20"/>
        <v>-93590</v>
      </c>
      <c r="H112" s="49"/>
      <c r="I112" s="49">
        <f t="shared" si="21"/>
        <v>-147311.15</v>
      </c>
      <c r="J112" s="49">
        <f t="shared" si="22"/>
        <v>17005.625</v>
      </c>
      <c r="K112" s="49">
        <f t="shared" si="23"/>
        <v>-50098.3</v>
      </c>
      <c r="L112" s="49">
        <f t="shared" si="24"/>
        <v>86813.825</v>
      </c>
      <c r="M112" s="49">
        <f t="shared" si="25"/>
        <v>0</v>
      </c>
      <c r="N112" s="49"/>
      <c r="O112" s="49">
        <v>-155497.3</v>
      </c>
      <c r="P112" s="49">
        <f>11016.95</f>
        <v>11016.95</v>
      </c>
      <c r="Q112" s="49">
        <v>-42694.4</v>
      </c>
      <c r="R112" s="49">
        <f>111206.2</f>
        <v>111206.2</v>
      </c>
      <c r="S112" s="49"/>
      <c r="T112" s="49"/>
      <c r="U112" s="49">
        <v>-139125</v>
      </c>
      <c r="V112" s="49">
        <v>22994.3</v>
      </c>
      <c r="W112" s="49">
        <v>-57502.2</v>
      </c>
      <c r="X112" s="49">
        <v>62421.45</v>
      </c>
      <c r="Y112" s="49">
        <v>0</v>
      </c>
      <c r="Z112" s="49"/>
    </row>
    <row r="113" spans="1:26" ht="12.75">
      <c r="A113" s="51">
        <f t="shared" si="26"/>
        <v>97</v>
      </c>
      <c r="B113" s="49"/>
      <c r="C113" s="49"/>
      <c r="D113" s="49"/>
      <c r="E113" s="49"/>
      <c r="F113" s="49"/>
      <c r="G113" s="49">
        <f aca="true" t="shared" si="27" ref="G113:G121">ROUND(SUM(C113:F113)/2,0)</f>
        <v>0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.75">
      <c r="A114" s="51">
        <f aca="true" t="shared" si="28" ref="A114:A123">A113+1</f>
        <v>98</v>
      </c>
      <c r="B114" s="49"/>
      <c r="C114" s="49"/>
      <c r="D114" s="49"/>
      <c r="E114" s="49"/>
      <c r="F114" s="49"/>
      <c r="G114" s="49">
        <f t="shared" si="27"/>
        <v>0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.75">
      <c r="A115" s="51">
        <f t="shared" si="28"/>
        <v>99</v>
      </c>
      <c r="B115" s="49" t="s">
        <v>25</v>
      </c>
      <c r="C115" s="49">
        <v>5442320.05</v>
      </c>
      <c r="D115" s="49">
        <v>3910151</v>
      </c>
      <c r="E115" s="49">
        <f aca="true" t="shared" si="29" ref="E115:F121">-C115</f>
        <v>-5442320.05</v>
      </c>
      <c r="F115" s="49">
        <f t="shared" si="29"/>
        <v>-3910151</v>
      </c>
      <c r="G115" s="49">
        <f t="shared" si="27"/>
        <v>0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.75">
      <c r="A116" s="51">
        <f t="shared" si="28"/>
        <v>100</v>
      </c>
      <c r="B116" s="49" t="s">
        <v>215</v>
      </c>
      <c r="C116" s="49">
        <v>52896960.84</v>
      </c>
      <c r="D116" s="49">
        <v>45381979</v>
      </c>
      <c r="E116" s="49">
        <f t="shared" si="29"/>
        <v>-52896960.84</v>
      </c>
      <c r="F116" s="49">
        <f t="shared" si="29"/>
        <v>-45381979</v>
      </c>
      <c r="G116" s="49">
        <f t="shared" si="27"/>
        <v>0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.75">
      <c r="A117" s="51">
        <f t="shared" si="28"/>
        <v>101</v>
      </c>
      <c r="B117" s="49" t="s">
        <v>216</v>
      </c>
      <c r="C117" s="49">
        <v>2130858.85</v>
      </c>
      <c r="D117" s="49">
        <v>2672327</v>
      </c>
      <c r="E117" s="49">
        <f t="shared" si="29"/>
        <v>-2130858.85</v>
      </c>
      <c r="F117" s="49">
        <f t="shared" si="29"/>
        <v>-2672327</v>
      </c>
      <c r="G117" s="49">
        <f t="shared" si="27"/>
        <v>0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.75">
      <c r="A118" s="51">
        <f t="shared" si="28"/>
        <v>102</v>
      </c>
      <c r="B118" s="49" t="s">
        <v>217</v>
      </c>
      <c r="C118" s="49">
        <v>538522</v>
      </c>
      <c r="D118" s="49">
        <v>158705.5</v>
      </c>
      <c r="E118" s="49">
        <f t="shared" si="29"/>
        <v>-538522</v>
      </c>
      <c r="F118" s="49">
        <f t="shared" si="29"/>
        <v>-158705.5</v>
      </c>
      <c r="G118" s="49">
        <f t="shared" si="27"/>
        <v>0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.75">
      <c r="A119" s="51">
        <f t="shared" si="28"/>
        <v>103</v>
      </c>
      <c r="B119" s="49" t="s">
        <v>218</v>
      </c>
      <c r="C119" s="49">
        <v>6087799</v>
      </c>
      <c r="D119" s="49">
        <v>5841433.5</v>
      </c>
      <c r="E119" s="49">
        <f t="shared" si="29"/>
        <v>-6087799</v>
      </c>
      <c r="F119" s="49">
        <f t="shared" si="29"/>
        <v>-5841433.5</v>
      </c>
      <c r="G119" s="49">
        <f t="shared" si="27"/>
        <v>0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.75">
      <c r="A120" s="51">
        <f t="shared" si="28"/>
        <v>104</v>
      </c>
      <c r="B120" s="49" t="s">
        <v>389</v>
      </c>
      <c r="C120" s="49">
        <v>8314872.5</v>
      </c>
      <c r="D120" s="49">
        <v>5240760.5</v>
      </c>
      <c r="E120" s="49">
        <f t="shared" si="29"/>
        <v>-8314872.5</v>
      </c>
      <c r="F120" s="49">
        <f t="shared" si="29"/>
        <v>-5240760.5</v>
      </c>
      <c r="G120" s="49">
        <f t="shared" si="27"/>
        <v>0</v>
      </c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.75">
      <c r="A121" s="51">
        <f t="shared" si="28"/>
        <v>105</v>
      </c>
      <c r="B121" s="49" t="s">
        <v>390</v>
      </c>
      <c r="C121" s="49">
        <v>-576653</v>
      </c>
      <c r="D121" s="49">
        <v>-230572</v>
      </c>
      <c r="E121" s="49">
        <f t="shared" si="29"/>
        <v>576653</v>
      </c>
      <c r="F121" s="49">
        <f t="shared" si="29"/>
        <v>230572</v>
      </c>
      <c r="G121" s="49">
        <f t="shared" si="27"/>
        <v>0</v>
      </c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.75">
      <c r="A122" s="51">
        <f t="shared" si="28"/>
        <v>106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3.5" thickBot="1">
      <c r="A123" s="51">
        <f t="shared" si="28"/>
        <v>107</v>
      </c>
      <c r="B123" s="49" t="s">
        <v>222</v>
      </c>
      <c r="C123" s="53">
        <f>SUM(C17:C122)</f>
        <v>774052033.1599998</v>
      </c>
      <c r="D123" s="53">
        <f>SUM(D17:D122)</f>
        <v>745790960.7749997</v>
      </c>
      <c r="E123" s="53">
        <f>SUM(E17:E122)</f>
        <v>-74834680.24000001</v>
      </c>
      <c r="F123" s="53">
        <f>SUM(F17:F122)</f>
        <v>-62974784.5</v>
      </c>
      <c r="G123" s="53">
        <f>SUM(G17:G122)</f>
        <v>691016767</v>
      </c>
      <c r="H123" s="53"/>
      <c r="I123" s="53">
        <f>SUM(I17:I122)</f>
        <v>68668196.04750001</v>
      </c>
      <c r="J123" s="53">
        <f>SUM(J17:J122)</f>
        <v>554552410.6300001</v>
      </c>
      <c r="K123" s="53">
        <f>SUM(K17:K122)</f>
        <v>15936211.359999998</v>
      </c>
      <c r="L123" s="53">
        <f>SUM(L17:L122)</f>
        <v>51859946.55999999</v>
      </c>
      <c r="M123" s="53">
        <f>SUM(M17:M122)</f>
        <v>0</v>
      </c>
      <c r="N123" s="53"/>
      <c r="O123" s="53">
        <f>SUM(O17:O122)</f>
        <v>70938521.51</v>
      </c>
      <c r="P123" s="53">
        <f>SUM(P17:P122)</f>
        <v>562207818.88</v>
      </c>
      <c r="Q123" s="53">
        <f>SUM(Q17:Q122)</f>
        <v>15883923.07</v>
      </c>
      <c r="R123" s="53">
        <f>SUM(R17:R122)</f>
        <v>50187089.46000001</v>
      </c>
      <c r="S123" s="53">
        <f>SUM(S17:S122)</f>
        <v>0</v>
      </c>
      <c r="T123" s="49"/>
      <c r="U123" s="53">
        <f>SUM(U17:U122)</f>
        <v>66397870.584999986</v>
      </c>
      <c r="V123" s="53">
        <f>SUM(V17:V122)</f>
        <v>546897002.3799999</v>
      </c>
      <c r="W123" s="53">
        <f>SUM(W17:W122)</f>
        <v>15988499.649999997</v>
      </c>
      <c r="X123" s="53">
        <f>SUM(X17:X122)</f>
        <v>53532803.660000004</v>
      </c>
      <c r="Y123" s="53">
        <f>SUM(Y17:Y122)</f>
        <v>0</v>
      </c>
      <c r="Z123" s="49"/>
    </row>
    <row r="124" spans="1:26" ht="13.5" thickTop="1">
      <c r="A124" s="48"/>
      <c r="B124" s="49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49"/>
      <c r="U124" s="54"/>
      <c r="V124" s="54"/>
      <c r="W124" s="54"/>
      <c r="X124" s="54"/>
      <c r="Y124" s="54"/>
      <c r="Z124" s="49"/>
    </row>
    <row r="125" spans="1:26" ht="12.7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.75">
      <c r="A126" s="48"/>
      <c r="B126" s="49"/>
      <c r="C126" s="49"/>
      <c r="D126" s="49" t="s">
        <v>24</v>
      </c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.75">
      <c r="A127" s="48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.75">
      <c r="A128" s="48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.75">
      <c r="A129" s="48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.75">
      <c r="A130" s="48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.75">
      <c r="A131" s="48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.75">
      <c r="A132" s="48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2:26" ht="12.75"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2:26" ht="12.75"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2:26" ht="12.75"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2:26" ht="12.75"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</sheetData>
  <sheetProtection/>
  <printOptions/>
  <pageMargins left="0.75" right="0.25" top="0.5" bottom="0.25" header="0" footer="0"/>
  <pageSetup horizontalDpi="600" verticalDpi="600" orientation="portrait" scale="42" r:id="rId1"/>
  <headerFooter alignWithMargins="0">
    <oddHeader>&amp;RSTATEMENT AG-3
Page &amp;P of &amp;N</oddHeader>
  </headerFooter>
  <rowBreaks count="1" manualBreakCount="1">
    <brk id="7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2"/>
  <sheetViews>
    <sheetView showOutlineSymbols="0" zoomScale="87" zoomScaleNormal="87" workbookViewId="0" topLeftCell="A1">
      <selection activeCell="A1" sqref="A1"/>
    </sheetView>
  </sheetViews>
  <sheetFormatPr defaultColWidth="12.7109375" defaultRowHeight="12.75"/>
  <cols>
    <col min="1" max="1" width="4.57421875" style="7" customWidth="1"/>
    <col min="2" max="2" width="54.8515625" style="2" customWidth="1"/>
    <col min="3" max="4" width="14.28125" style="2" customWidth="1"/>
    <col min="5" max="5" width="13.57421875" style="2" customWidth="1"/>
    <col min="6" max="6" width="15.7109375" style="2" customWidth="1"/>
    <col min="7" max="7" width="14.28125" style="2" customWidth="1"/>
    <col min="8" max="8" width="2.28125" style="2" customWidth="1"/>
    <col min="9" max="9" width="12.8515625" style="2" customWidth="1"/>
    <col min="10" max="11" width="15.7109375" style="2" customWidth="1"/>
    <col min="12" max="12" width="1.57421875" style="2" customWidth="1"/>
    <col min="13" max="13" width="14.28125" style="2" customWidth="1"/>
    <col min="14" max="15" width="15.7109375" style="2" customWidth="1"/>
    <col min="16" max="16" width="1.421875" style="2" customWidth="1"/>
    <col min="17" max="17" width="13.421875" style="2" customWidth="1"/>
    <col min="18" max="18" width="15.7109375" style="2" customWidth="1"/>
    <col min="19" max="19" width="14.8515625" style="2" customWidth="1"/>
    <col min="20" max="16384" width="12.7109375" style="2" customWidth="1"/>
  </cols>
  <sheetData>
    <row r="1" spans="2:19" ht="12.75">
      <c r="B1" s="20" t="s">
        <v>391</v>
      </c>
      <c r="G1" s="1"/>
      <c r="H1" s="1"/>
      <c r="I1" s="1"/>
      <c r="J1" s="1"/>
      <c r="K1" s="1"/>
      <c r="L1" s="1"/>
      <c r="S1" s="1"/>
    </row>
    <row r="2" spans="2:19" ht="12.75">
      <c r="B2" s="20" t="s">
        <v>0</v>
      </c>
      <c r="G2" s="1"/>
      <c r="H2" s="1"/>
      <c r="I2" s="1"/>
      <c r="J2" s="1"/>
      <c r="K2" s="1"/>
      <c r="L2" s="1"/>
      <c r="S2" s="3"/>
    </row>
    <row r="3" ht="12.75">
      <c r="B3" s="20" t="s">
        <v>127</v>
      </c>
    </row>
    <row r="4" spans="7:12" ht="12.75">
      <c r="G4" s="8" t="s">
        <v>1</v>
      </c>
      <c r="H4" s="8"/>
      <c r="I4" s="8"/>
      <c r="J4" s="8"/>
      <c r="K4" s="8"/>
      <c r="L4" s="8"/>
    </row>
    <row r="5" ht="12.75">
      <c r="B5" s="9"/>
    </row>
    <row r="8" spans="2:19" ht="12.7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60</v>
      </c>
      <c r="O8" s="4" t="s">
        <v>61</v>
      </c>
      <c r="Q8" s="4" t="s">
        <v>62</v>
      </c>
      <c r="R8" s="4" t="s">
        <v>63</v>
      </c>
      <c r="S8" s="4" t="s">
        <v>64</v>
      </c>
    </row>
    <row r="10" spans="3:19" ht="12.7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66</v>
      </c>
      <c r="J10" s="10"/>
      <c r="K10" s="10"/>
      <c r="L10" s="12"/>
      <c r="M10" s="13" t="s">
        <v>129</v>
      </c>
      <c r="N10" s="10"/>
      <c r="O10" s="10"/>
      <c r="Q10" s="13" t="s">
        <v>123</v>
      </c>
      <c r="R10" s="10"/>
      <c r="S10" s="10"/>
    </row>
    <row r="11" spans="3:19" ht="12.7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3:12" ht="12.7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2:19" ht="12.75">
      <c r="B13" s="4" t="s">
        <v>18</v>
      </c>
      <c r="C13" s="4" t="s">
        <v>128</v>
      </c>
      <c r="D13" s="4" t="s">
        <v>122</v>
      </c>
      <c r="E13" s="4" t="s">
        <v>128</v>
      </c>
      <c r="F13" s="4" t="s">
        <v>122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5" spans="2:19" ht="12.75">
      <c r="B15" s="3" t="s">
        <v>23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9" ht="12.75"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16">
        <v>1</v>
      </c>
      <c r="B17" s="3" t="s">
        <v>85</v>
      </c>
      <c r="C17" s="5">
        <f>SUM(M17:O17)</f>
        <v>28229670</v>
      </c>
      <c r="D17" s="5">
        <f>SUM(Q17:S17)</f>
        <v>29802203.9</v>
      </c>
      <c r="E17" s="5"/>
      <c r="F17" s="5"/>
      <c r="G17" s="5">
        <f>ROUND(SUM(C17:F17)/2,0)</f>
        <v>29015937</v>
      </c>
      <c r="H17" s="5"/>
      <c r="I17" s="5">
        <f>(+M17+Q17)/2</f>
        <v>29015936.95</v>
      </c>
      <c r="J17" s="5">
        <f>(+N17+R17)/2</f>
        <v>0</v>
      </c>
      <c r="K17" s="5">
        <f>(+O17+S17)/2</f>
        <v>0</v>
      </c>
      <c r="L17" s="5"/>
      <c r="M17" s="5">
        <v>28229670</v>
      </c>
      <c r="N17" s="5">
        <v>0</v>
      </c>
      <c r="O17" s="5">
        <v>0</v>
      </c>
      <c r="P17" s="5"/>
      <c r="Q17" s="5">
        <v>29802203.9</v>
      </c>
      <c r="R17" s="5">
        <v>0</v>
      </c>
      <c r="S17" s="5">
        <v>0</v>
      </c>
    </row>
    <row r="18" spans="1:19" ht="12.75">
      <c r="A18" s="16">
        <f aca="true" t="shared" si="0" ref="A18:A49">A17+1</f>
        <v>2</v>
      </c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16">
        <f t="shared" si="0"/>
        <v>3</v>
      </c>
      <c r="B19" s="3" t="s">
        <v>392</v>
      </c>
      <c r="C19" s="5">
        <v>0</v>
      </c>
      <c r="D19" s="5">
        <v>0</v>
      </c>
      <c r="E19" s="5">
        <f aca="true" t="shared" si="1" ref="E19:F21">-C19</f>
        <v>0</v>
      </c>
      <c r="F19" s="5">
        <f t="shared" si="1"/>
        <v>0</v>
      </c>
      <c r="G19" s="5">
        <f>ROUND(SUM(C19:F19)/2,0)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16">
        <f t="shared" si="0"/>
        <v>4</v>
      </c>
      <c r="B20" s="1" t="s">
        <v>26</v>
      </c>
      <c r="C20" s="5">
        <v>0</v>
      </c>
      <c r="D20" s="5">
        <v>0</v>
      </c>
      <c r="E20" s="5">
        <f t="shared" si="1"/>
        <v>0</v>
      </c>
      <c r="F20" s="5">
        <f t="shared" si="1"/>
        <v>0</v>
      </c>
      <c r="G20" s="5">
        <f>ROUND(SUM(C20:F20)/2,0)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16">
        <f t="shared" si="0"/>
        <v>5</v>
      </c>
      <c r="B21" s="1" t="s">
        <v>27</v>
      </c>
      <c r="C21" s="5">
        <v>0</v>
      </c>
      <c r="D21" s="5">
        <v>0</v>
      </c>
      <c r="E21" s="5">
        <f t="shared" si="1"/>
        <v>0</v>
      </c>
      <c r="F21" s="5">
        <f t="shared" si="1"/>
        <v>0</v>
      </c>
      <c r="G21" s="5">
        <f>ROUND(SUM(C21:F21)/2,0)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16">
        <f t="shared" si="0"/>
        <v>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3.5" thickBot="1">
      <c r="A23" s="16">
        <f t="shared" si="0"/>
        <v>7</v>
      </c>
      <c r="B23" s="3" t="s">
        <v>28</v>
      </c>
      <c r="C23" s="17">
        <f>SUM(C17:C22)</f>
        <v>28229670</v>
      </c>
      <c r="D23" s="17">
        <f>SUM(D17:D22)</f>
        <v>29802203.9</v>
      </c>
      <c r="E23" s="17">
        <f>SUM(E17:E22)</f>
        <v>0</v>
      </c>
      <c r="F23" s="17">
        <f>SUM(F17:F22)</f>
        <v>0</v>
      </c>
      <c r="G23" s="17">
        <f>SUM(G17:G22)</f>
        <v>29015937</v>
      </c>
      <c r="H23" s="17"/>
      <c r="I23" s="17">
        <f>SUM(I17:I22)</f>
        <v>29015936.95</v>
      </c>
      <c r="J23" s="17">
        <f>SUM(J17:J22)</f>
        <v>0</v>
      </c>
      <c r="K23" s="17">
        <f>SUM(K17:K22)</f>
        <v>0</v>
      </c>
      <c r="L23" s="17"/>
      <c r="M23" s="17">
        <f>SUM(M17:M22)</f>
        <v>28229670</v>
      </c>
      <c r="N23" s="17">
        <f>SUM(N17:N22)</f>
        <v>0</v>
      </c>
      <c r="O23" s="17">
        <f>SUM(O17:O22)</f>
        <v>0</v>
      </c>
      <c r="P23" s="5"/>
      <c r="Q23" s="17">
        <f>SUM(Q17:Q22)</f>
        <v>29802203.9</v>
      </c>
      <c r="R23" s="17">
        <f>SUM(R17:R22)</f>
        <v>0</v>
      </c>
      <c r="S23" s="17">
        <f>SUM(S17:S22)</f>
        <v>0</v>
      </c>
    </row>
    <row r="24" spans="1:19" ht="13.5" thickTop="1">
      <c r="A24" s="16">
        <f t="shared" si="0"/>
        <v>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5"/>
      <c r="Q24" s="18"/>
      <c r="R24" s="18"/>
      <c r="S24" s="18"/>
    </row>
    <row r="25" spans="1:19" ht="12.75">
      <c r="A25" s="16">
        <f t="shared" si="0"/>
        <v>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16">
        <f t="shared" si="0"/>
        <v>10</v>
      </c>
      <c r="B26" s="1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16">
        <f t="shared" si="0"/>
        <v>11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16">
        <f t="shared" si="0"/>
        <v>12</v>
      </c>
      <c r="B28" s="3" t="s">
        <v>235</v>
      </c>
      <c r="C28" s="5">
        <f aca="true" t="shared" si="2" ref="C28:C51">SUM(M28:O28)</f>
        <v>127166997.65</v>
      </c>
      <c r="D28" s="5">
        <f aca="true" t="shared" si="3" ref="D28:D52">SUM(Q28:S28)</f>
        <v>107250055</v>
      </c>
      <c r="E28" s="5"/>
      <c r="F28" s="5"/>
      <c r="G28" s="5">
        <f aca="true" t="shared" si="4" ref="G28:G54">ROUND(SUM(C28:F28)/2,0)</f>
        <v>117208526</v>
      </c>
      <c r="H28" s="5"/>
      <c r="I28" s="5">
        <f aca="true" t="shared" si="5" ref="I28:I51">(+M28+Q28)/2</f>
        <v>18427985.450000003</v>
      </c>
      <c r="J28" s="5">
        <f aca="true" t="shared" si="6" ref="J28:J51">(+N28+R28)/2</f>
        <v>41727431.45</v>
      </c>
      <c r="K28" s="5">
        <f aca="true" t="shared" si="7" ref="K28:K51">(+O28+S28)/2</f>
        <v>57053109.425</v>
      </c>
      <c r="L28" s="5"/>
      <c r="M28" s="5">
        <f>7.85+2+0.7+18864791.35-9234+56862</f>
        <v>18912429.900000002</v>
      </c>
      <c r="N28" s="5">
        <f>32.4+9+0.4-5879+46202273.7+104852+8111</f>
        <v>46309399.5</v>
      </c>
      <c r="O28" s="5">
        <f>114260.1+32700-0.6+61327939.5-1461+471730.25</f>
        <v>61945168.25</v>
      </c>
      <c r="P28" s="5"/>
      <c r="Q28" s="5">
        <f>8.9+2+0.7+17896559.4-9892+56862</f>
        <v>17943541</v>
      </c>
      <c r="R28" s="5">
        <f>34.5+10-1470.65-6036-492.1-46+37034477.65+110875+8111</f>
        <v>37145463.4</v>
      </c>
      <c r="S28" s="5">
        <f>124251.2+35561+673.5+-2980+51509770.65+22044+471730.25</f>
        <v>52161050.6</v>
      </c>
    </row>
    <row r="29" spans="1:19" ht="12.75">
      <c r="A29" s="16">
        <f t="shared" si="0"/>
        <v>13</v>
      </c>
      <c r="B29" s="3" t="s">
        <v>393</v>
      </c>
      <c r="C29" s="5">
        <f t="shared" si="2"/>
        <v>3667</v>
      </c>
      <c r="D29" s="5">
        <f t="shared" si="3"/>
        <v>3667</v>
      </c>
      <c r="E29" s="5"/>
      <c r="F29" s="5"/>
      <c r="G29" s="5">
        <f t="shared" si="4"/>
        <v>3667</v>
      </c>
      <c r="H29" s="5"/>
      <c r="I29" s="5">
        <f t="shared" si="5"/>
        <v>900</v>
      </c>
      <c r="J29" s="5">
        <f t="shared" si="6"/>
        <v>1264</v>
      </c>
      <c r="K29" s="5">
        <f t="shared" si="7"/>
        <v>1503</v>
      </c>
      <c r="L29" s="5"/>
      <c r="M29" s="5">
        <f>-281+1181</f>
        <v>900</v>
      </c>
      <c r="N29" s="5">
        <f>-395+1659</f>
        <v>1264</v>
      </c>
      <c r="O29" s="5">
        <f>-470+1973</f>
        <v>1503</v>
      </c>
      <c r="P29" s="5"/>
      <c r="Q29" s="5">
        <v>900</v>
      </c>
      <c r="R29" s="5">
        <v>1264</v>
      </c>
      <c r="S29" s="5">
        <v>1503</v>
      </c>
    </row>
    <row r="30" spans="1:19" ht="12.75">
      <c r="A30" s="16">
        <f t="shared" si="0"/>
        <v>14</v>
      </c>
      <c r="B30" s="1" t="s">
        <v>394</v>
      </c>
      <c r="C30" s="5">
        <f t="shared" si="2"/>
        <v>20380</v>
      </c>
      <c r="D30" s="5">
        <f t="shared" si="3"/>
        <v>20380</v>
      </c>
      <c r="E30" s="5"/>
      <c r="F30" s="5"/>
      <c r="G30" s="5">
        <f t="shared" si="4"/>
        <v>20380</v>
      </c>
      <c r="H30" s="5"/>
      <c r="I30" s="5">
        <f t="shared" si="5"/>
        <v>5003</v>
      </c>
      <c r="J30" s="5">
        <f t="shared" si="6"/>
        <v>7027</v>
      </c>
      <c r="K30" s="5">
        <f t="shared" si="7"/>
        <v>8350</v>
      </c>
      <c r="L30" s="5"/>
      <c r="M30" s="5">
        <v>5003</v>
      </c>
      <c r="N30" s="5">
        <v>7027</v>
      </c>
      <c r="O30" s="5">
        <v>8350</v>
      </c>
      <c r="P30" s="5"/>
      <c r="Q30" s="5">
        <v>5003</v>
      </c>
      <c r="R30" s="5">
        <v>7027</v>
      </c>
      <c r="S30" s="5">
        <v>8350</v>
      </c>
    </row>
    <row r="31" spans="1:19" ht="12.75">
      <c r="A31" s="16">
        <f t="shared" si="0"/>
        <v>15</v>
      </c>
      <c r="B31" s="9" t="s">
        <v>395</v>
      </c>
      <c r="C31" s="5">
        <f t="shared" si="2"/>
        <v>5647.6</v>
      </c>
      <c r="D31" s="5">
        <f t="shared" si="3"/>
        <v>6060.25</v>
      </c>
      <c r="E31" s="5"/>
      <c r="F31" s="5"/>
      <c r="G31" s="5">
        <f t="shared" si="4"/>
        <v>5854</v>
      </c>
      <c r="H31" s="5"/>
      <c r="I31" s="5">
        <f t="shared" si="5"/>
        <v>1948.275</v>
      </c>
      <c r="J31" s="5">
        <f t="shared" si="6"/>
        <v>4426.275</v>
      </c>
      <c r="K31" s="5">
        <f t="shared" si="7"/>
        <v>-520.625</v>
      </c>
      <c r="L31" s="5"/>
      <c r="M31" s="5">
        <v>1858.15</v>
      </c>
      <c r="N31" s="5">
        <v>4221.7</v>
      </c>
      <c r="O31" s="5">
        <v>-432.25</v>
      </c>
      <c r="P31" s="5"/>
      <c r="Q31" s="5">
        <v>2038.4</v>
      </c>
      <c r="R31" s="5">
        <v>4630.85</v>
      </c>
      <c r="S31" s="5">
        <v>-609</v>
      </c>
    </row>
    <row r="32" spans="1:19" ht="12.75">
      <c r="A32" s="16">
        <f t="shared" si="0"/>
        <v>16</v>
      </c>
      <c r="B32" s="9" t="s">
        <v>396</v>
      </c>
      <c r="C32" s="5">
        <f t="shared" si="2"/>
        <v>55004.25</v>
      </c>
      <c r="D32" s="5">
        <f t="shared" si="3"/>
        <v>61042.1</v>
      </c>
      <c r="E32" s="5"/>
      <c r="F32" s="5"/>
      <c r="G32" s="5">
        <f t="shared" si="4"/>
        <v>58023</v>
      </c>
      <c r="H32" s="5"/>
      <c r="I32" s="5">
        <f t="shared" si="5"/>
        <v>0</v>
      </c>
      <c r="J32" s="5">
        <f t="shared" si="6"/>
        <v>0</v>
      </c>
      <c r="K32" s="5">
        <f t="shared" si="7"/>
        <v>58023.175</v>
      </c>
      <c r="L32" s="5"/>
      <c r="M32" s="5">
        <v>0</v>
      </c>
      <c r="N32" s="5">
        <v>0</v>
      </c>
      <c r="O32" s="5">
        <v>55004.25</v>
      </c>
      <c r="P32" s="5"/>
      <c r="Q32" s="5">
        <v>0</v>
      </c>
      <c r="R32" s="5">
        <v>0</v>
      </c>
      <c r="S32" s="5">
        <v>61042.1</v>
      </c>
    </row>
    <row r="33" spans="1:19" ht="12.75">
      <c r="A33" s="16">
        <f t="shared" si="0"/>
        <v>17</v>
      </c>
      <c r="B33" s="9" t="s">
        <v>397</v>
      </c>
      <c r="C33" s="5">
        <f t="shared" si="2"/>
        <v>76177.1</v>
      </c>
      <c r="D33" s="5">
        <f t="shared" si="3"/>
        <v>84971.65</v>
      </c>
      <c r="E33" s="5"/>
      <c r="F33" s="5"/>
      <c r="G33" s="5">
        <f t="shared" si="4"/>
        <v>80574</v>
      </c>
      <c r="H33" s="5"/>
      <c r="I33" s="5">
        <f t="shared" si="5"/>
        <v>0</v>
      </c>
      <c r="J33" s="5">
        <f t="shared" si="6"/>
        <v>80574.375</v>
      </c>
      <c r="K33" s="5">
        <f t="shared" si="7"/>
        <v>0</v>
      </c>
      <c r="L33" s="5"/>
      <c r="M33" s="5">
        <v>0</v>
      </c>
      <c r="N33" s="5">
        <v>76177.1</v>
      </c>
      <c r="O33" s="5">
        <v>0</v>
      </c>
      <c r="P33" s="5"/>
      <c r="Q33" s="5">
        <v>0</v>
      </c>
      <c r="R33" s="5">
        <v>84971.65</v>
      </c>
      <c r="S33" s="5">
        <v>0</v>
      </c>
    </row>
    <row r="34" spans="1:19" ht="12.75">
      <c r="A34" s="16">
        <f t="shared" si="0"/>
        <v>18</v>
      </c>
      <c r="B34" s="9" t="s">
        <v>398</v>
      </c>
      <c r="C34" s="5">
        <f t="shared" si="2"/>
        <v>570482.85</v>
      </c>
      <c r="D34" s="5">
        <f t="shared" si="3"/>
        <v>515165</v>
      </c>
      <c r="E34" s="5"/>
      <c r="F34" s="5"/>
      <c r="G34" s="5">
        <f t="shared" si="4"/>
        <v>542824</v>
      </c>
      <c r="H34" s="5"/>
      <c r="I34" s="5">
        <f t="shared" si="5"/>
        <v>542823.925</v>
      </c>
      <c r="J34" s="5">
        <f t="shared" si="6"/>
        <v>0</v>
      </c>
      <c r="K34" s="5">
        <f t="shared" si="7"/>
        <v>0</v>
      </c>
      <c r="L34" s="5"/>
      <c r="M34" s="5">
        <v>570482.85</v>
      </c>
      <c r="N34" s="5">
        <v>0</v>
      </c>
      <c r="O34" s="5">
        <v>0</v>
      </c>
      <c r="P34" s="5"/>
      <c r="Q34" s="5">
        <v>515165</v>
      </c>
      <c r="R34" s="5">
        <v>0</v>
      </c>
      <c r="S34" s="5">
        <v>0</v>
      </c>
    </row>
    <row r="35" spans="1:19" ht="12.75">
      <c r="A35" s="16">
        <f t="shared" si="0"/>
        <v>19</v>
      </c>
      <c r="B35" s="3" t="s">
        <v>399</v>
      </c>
      <c r="C35" s="5">
        <f t="shared" si="2"/>
        <v>6797305.6</v>
      </c>
      <c r="D35" s="5">
        <f t="shared" si="3"/>
        <v>6925521.75</v>
      </c>
      <c r="E35" s="5"/>
      <c r="F35" s="5"/>
      <c r="G35" s="5">
        <f t="shared" si="4"/>
        <v>6861414</v>
      </c>
      <c r="H35" s="5"/>
      <c r="I35" s="5">
        <f t="shared" si="5"/>
        <v>0</v>
      </c>
      <c r="J35" s="5">
        <f t="shared" si="6"/>
        <v>6861413.675</v>
      </c>
      <c r="K35" s="5">
        <f t="shared" si="7"/>
        <v>0</v>
      </c>
      <c r="L35" s="5"/>
      <c r="M35" s="5">
        <v>0</v>
      </c>
      <c r="N35" s="5">
        <f>6280308.6+516997</f>
        <v>6797305.6</v>
      </c>
      <c r="O35" s="5">
        <v>0</v>
      </c>
      <c r="P35" s="5"/>
      <c r="Q35" s="5">
        <v>0</v>
      </c>
      <c r="R35" s="5">
        <f>6391114.75+534407</f>
        <v>6925521.75</v>
      </c>
      <c r="S35" s="5">
        <v>0</v>
      </c>
    </row>
    <row r="36" spans="1:19" ht="12.75">
      <c r="A36" s="16">
        <f t="shared" si="0"/>
        <v>20</v>
      </c>
      <c r="B36" s="3" t="s">
        <v>68</v>
      </c>
      <c r="C36" s="5">
        <f t="shared" si="2"/>
        <v>1105091.61</v>
      </c>
      <c r="D36" s="5">
        <f t="shared" si="3"/>
        <v>649833.77</v>
      </c>
      <c r="E36" s="5"/>
      <c r="F36" s="5"/>
      <c r="G36" s="5">
        <f t="shared" si="4"/>
        <v>877463</v>
      </c>
      <c r="H36" s="5"/>
      <c r="I36" s="5">
        <f t="shared" si="5"/>
        <v>877462.6900000001</v>
      </c>
      <c r="J36" s="5">
        <f t="shared" si="6"/>
        <v>0</v>
      </c>
      <c r="K36" s="5">
        <f t="shared" si="7"/>
        <v>0</v>
      </c>
      <c r="L36" s="5"/>
      <c r="M36" s="5">
        <v>1105091.61</v>
      </c>
      <c r="N36" s="5">
        <v>0</v>
      </c>
      <c r="O36" s="5">
        <v>0</v>
      </c>
      <c r="P36" s="5"/>
      <c r="Q36" s="5">
        <v>649833.77</v>
      </c>
      <c r="R36" s="5">
        <v>0</v>
      </c>
      <c r="S36" s="5">
        <v>0</v>
      </c>
    </row>
    <row r="37" spans="1:19" ht="12.75">
      <c r="A37" s="16">
        <f t="shared" si="0"/>
        <v>21</v>
      </c>
      <c r="B37" s="3" t="s">
        <v>107</v>
      </c>
      <c r="C37" s="5">
        <f t="shared" si="2"/>
        <v>19766456.740000002</v>
      </c>
      <c r="D37" s="5">
        <f t="shared" si="3"/>
        <v>19088019.85</v>
      </c>
      <c r="E37" s="5"/>
      <c r="F37" s="5"/>
      <c r="G37" s="5">
        <f t="shared" si="4"/>
        <v>19427238</v>
      </c>
      <c r="H37" s="5"/>
      <c r="I37" s="5">
        <f t="shared" si="5"/>
        <v>3873972.4050000003</v>
      </c>
      <c r="J37" s="5">
        <f t="shared" si="6"/>
        <v>1962616.5</v>
      </c>
      <c r="K37" s="5">
        <f t="shared" si="7"/>
        <v>13590649.39</v>
      </c>
      <c r="L37" s="5"/>
      <c r="M37" s="5">
        <f>5459091.65-1624498.09</f>
        <v>3834593.5600000005</v>
      </c>
      <c r="N37" s="5">
        <f>3486092.6-1340867.25</f>
        <v>2145225.35</v>
      </c>
      <c r="O37" s="5">
        <f>18030493-4243855.17</f>
        <v>13786637.83</v>
      </c>
      <c r="P37" s="5"/>
      <c r="Q37" s="5">
        <f>5353999.25-1440648</f>
        <v>3913351.25</v>
      </c>
      <c r="R37" s="5">
        <f>2996513.65-1216506</f>
        <v>1780007.65</v>
      </c>
      <c r="S37" s="5">
        <f>17020664.95-3626004</f>
        <v>13394660.95</v>
      </c>
    </row>
    <row r="38" spans="1:19" ht="12.75">
      <c r="A38" s="16">
        <f t="shared" si="0"/>
        <v>22</v>
      </c>
      <c r="B38" s="3" t="s">
        <v>400</v>
      </c>
      <c r="C38" s="5">
        <f t="shared" si="2"/>
        <v>-1978194.22</v>
      </c>
      <c r="D38" s="5">
        <f t="shared" si="3"/>
        <v>-1394751.22</v>
      </c>
      <c r="E38" s="5"/>
      <c r="F38" s="5"/>
      <c r="G38" s="5">
        <f t="shared" si="4"/>
        <v>-1686473</v>
      </c>
      <c r="H38" s="5"/>
      <c r="I38" s="5">
        <f t="shared" si="5"/>
        <v>-1686472.72</v>
      </c>
      <c r="J38" s="5">
        <f t="shared" si="6"/>
        <v>0</v>
      </c>
      <c r="K38" s="5">
        <f t="shared" si="7"/>
        <v>0</v>
      </c>
      <c r="L38" s="5"/>
      <c r="M38" s="5">
        <v>-1978194.22</v>
      </c>
      <c r="N38" s="5">
        <v>0</v>
      </c>
      <c r="O38" s="5">
        <v>0</v>
      </c>
      <c r="P38" s="5"/>
      <c r="Q38" s="5">
        <v>-1394751.22</v>
      </c>
      <c r="R38" s="5">
        <v>0</v>
      </c>
      <c r="S38" s="5">
        <v>0</v>
      </c>
    </row>
    <row r="39" spans="1:19" ht="12.75">
      <c r="A39" s="16">
        <f t="shared" si="0"/>
        <v>23</v>
      </c>
      <c r="B39" s="1" t="s">
        <v>31</v>
      </c>
      <c r="C39" s="5">
        <f t="shared" si="2"/>
        <v>3555865.04</v>
      </c>
      <c r="D39" s="5">
        <f t="shared" si="3"/>
        <v>3431818.42</v>
      </c>
      <c r="E39" s="5"/>
      <c r="F39" s="5"/>
      <c r="G39" s="5">
        <f t="shared" si="4"/>
        <v>3493842</v>
      </c>
      <c r="H39" s="5"/>
      <c r="I39" s="5">
        <f t="shared" si="5"/>
        <v>1591027.81</v>
      </c>
      <c r="J39" s="5">
        <f t="shared" si="6"/>
        <v>909720.44</v>
      </c>
      <c r="K39" s="5">
        <f t="shared" si="7"/>
        <v>993093.48</v>
      </c>
      <c r="L39" s="5"/>
      <c r="M39" s="5">
        <f>2606377.14-1025366.09</f>
        <v>1581011.0500000003</v>
      </c>
      <c r="N39" s="5">
        <f>1684444.19-717966.75</f>
        <v>966477.44</v>
      </c>
      <c r="O39" s="5">
        <f>2207664.55-1199288</f>
        <v>1008376.5499999998</v>
      </c>
      <c r="P39" s="5"/>
      <c r="Q39" s="5">
        <f>2546177.57-945133</f>
        <v>1601044.5699999998</v>
      </c>
      <c r="R39" s="5">
        <f>1522836.44-669873</f>
        <v>852963.44</v>
      </c>
      <c r="S39" s="5">
        <f>2114370.41-1136560</f>
        <v>977810.4100000001</v>
      </c>
    </row>
    <row r="40" spans="1:19" ht="12.75">
      <c r="A40" s="16">
        <f t="shared" si="0"/>
        <v>24</v>
      </c>
      <c r="B40" s="3" t="s">
        <v>401</v>
      </c>
      <c r="C40" s="5">
        <f t="shared" si="2"/>
        <v>155762</v>
      </c>
      <c r="D40" s="5">
        <f t="shared" si="3"/>
        <v>163209</v>
      </c>
      <c r="E40" s="5"/>
      <c r="F40" s="5"/>
      <c r="G40" s="5">
        <f t="shared" si="4"/>
        <v>159486</v>
      </c>
      <c r="H40" s="5"/>
      <c r="I40" s="5">
        <f t="shared" si="5"/>
        <v>0</v>
      </c>
      <c r="J40" s="5">
        <f t="shared" si="6"/>
        <v>159485.5</v>
      </c>
      <c r="K40" s="5">
        <f t="shared" si="7"/>
        <v>0</v>
      </c>
      <c r="L40" s="5"/>
      <c r="M40" s="5">
        <v>0</v>
      </c>
      <c r="N40" s="5">
        <f>357446-201684</f>
        <v>155762</v>
      </c>
      <c r="O40" s="5">
        <v>0</v>
      </c>
      <c r="P40" s="5"/>
      <c r="Q40" s="5">
        <v>0</v>
      </c>
      <c r="R40" s="5">
        <f>357446-194237</f>
        <v>163209</v>
      </c>
      <c r="S40" s="5">
        <v>0</v>
      </c>
    </row>
    <row r="41" spans="1:19" ht="12.75">
      <c r="A41" s="16">
        <f t="shared" si="0"/>
        <v>25</v>
      </c>
      <c r="B41" s="3" t="s">
        <v>402</v>
      </c>
      <c r="C41" s="5">
        <f t="shared" si="2"/>
        <v>218077.5700000003</v>
      </c>
      <c r="D41" s="5">
        <f t="shared" si="3"/>
        <v>419519</v>
      </c>
      <c r="E41" s="5"/>
      <c r="F41" s="5"/>
      <c r="G41" s="5">
        <f t="shared" si="4"/>
        <v>318798</v>
      </c>
      <c r="H41" s="5"/>
      <c r="I41" s="5">
        <f t="shared" si="5"/>
        <v>0</v>
      </c>
      <c r="J41" s="5">
        <f t="shared" si="6"/>
        <v>318798.28500000015</v>
      </c>
      <c r="K41" s="5">
        <f t="shared" si="7"/>
        <v>0</v>
      </c>
      <c r="L41" s="5"/>
      <c r="M41" s="5">
        <v>0</v>
      </c>
      <c r="N41" s="5">
        <f>10959058-10740980.43</f>
        <v>218077.5700000003</v>
      </c>
      <c r="O41" s="5">
        <v>0</v>
      </c>
      <c r="P41" s="5"/>
      <c r="Q41" s="5">
        <v>0</v>
      </c>
      <c r="R41" s="5">
        <f>10959058-10539539</f>
        <v>419519</v>
      </c>
      <c r="S41" s="5">
        <v>0</v>
      </c>
    </row>
    <row r="42" spans="1:19" ht="12.75">
      <c r="A42" s="16">
        <f t="shared" si="0"/>
        <v>26</v>
      </c>
      <c r="B42" s="1" t="s">
        <v>32</v>
      </c>
      <c r="C42" s="5">
        <f t="shared" si="2"/>
        <v>45130.659999999974</v>
      </c>
      <c r="D42" s="5">
        <f t="shared" si="3"/>
        <v>74479</v>
      </c>
      <c r="E42" s="5"/>
      <c r="F42" s="5"/>
      <c r="G42" s="5">
        <f t="shared" si="4"/>
        <v>59805</v>
      </c>
      <c r="H42" s="5"/>
      <c r="I42" s="5">
        <f t="shared" si="5"/>
        <v>14682.170000000013</v>
      </c>
      <c r="J42" s="5">
        <f t="shared" si="6"/>
        <v>20620.659999999974</v>
      </c>
      <c r="K42" s="5">
        <f t="shared" si="7"/>
        <v>24502</v>
      </c>
      <c r="L42" s="5"/>
      <c r="M42" s="5">
        <f>473144-462064.66</f>
        <v>11079.340000000026</v>
      </c>
      <c r="N42" s="5">
        <f>664516-648954.68</f>
        <v>15561.319999999949</v>
      </c>
      <c r="O42" s="5">
        <f>789590-771100</f>
        <v>18490</v>
      </c>
      <c r="P42" s="5"/>
      <c r="Q42" s="5">
        <f>473144-454859</f>
        <v>18285</v>
      </c>
      <c r="R42" s="5">
        <f>664516-638836</f>
        <v>25680</v>
      </c>
      <c r="S42" s="5">
        <f>789590-759076</f>
        <v>30514</v>
      </c>
    </row>
    <row r="43" spans="1:19" ht="12.75">
      <c r="A43" s="16">
        <f t="shared" si="0"/>
        <v>27</v>
      </c>
      <c r="B43" s="1" t="s">
        <v>33</v>
      </c>
      <c r="C43" s="5">
        <f t="shared" si="2"/>
        <v>3215.4900000000052</v>
      </c>
      <c r="D43" s="5">
        <f t="shared" si="3"/>
        <v>6326</v>
      </c>
      <c r="E43" s="5"/>
      <c r="F43" s="5"/>
      <c r="G43" s="5">
        <f t="shared" si="4"/>
        <v>4771</v>
      </c>
      <c r="H43" s="5"/>
      <c r="I43" s="5">
        <f t="shared" si="5"/>
        <v>1170.5</v>
      </c>
      <c r="J43" s="5">
        <f t="shared" si="6"/>
        <v>1645.6600000000035</v>
      </c>
      <c r="K43" s="5">
        <f t="shared" si="7"/>
        <v>1954.5849999999991</v>
      </c>
      <c r="L43" s="5"/>
      <c r="M43" s="5">
        <f>63444-62655</f>
        <v>789</v>
      </c>
      <c r="N43" s="5">
        <f>89104-87994.68</f>
        <v>1109.320000000007</v>
      </c>
      <c r="O43" s="5">
        <f>105876-104558.83</f>
        <v>1317.1699999999983</v>
      </c>
      <c r="P43" s="5"/>
      <c r="Q43" s="5">
        <f>63444-61892</f>
        <v>1552</v>
      </c>
      <c r="R43" s="5">
        <f>89104-86922</f>
        <v>2182</v>
      </c>
      <c r="S43" s="5">
        <f>105876-103284</f>
        <v>2592</v>
      </c>
    </row>
    <row r="44" spans="1:19" ht="12.75">
      <c r="A44" s="16">
        <f t="shared" si="0"/>
        <v>28</v>
      </c>
      <c r="B44" s="1" t="s">
        <v>34</v>
      </c>
      <c r="C44" s="5">
        <f t="shared" si="2"/>
        <v>4081.1499999999996</v>
      </c>
      <c r="D44" s="5">
        <f t="shared" si="3"/>
        <v>7387.950000000001</v>
      </c>
      <c r="E44" s="5"/>
      <c r="F44" s="5"/>
      <c r="G44" s="5">
        <f t="shared" si="4"/>
        <v>5735</v>
      </c>
      <c r="H44" s="5"/>
      <c r="I44" s="5">
        <f t="shared" si="5"/>
        <v>1425.7</v>
      </c>
      <c r="J44" s="5">
        <f t="shared" si="6"/>
        <v>1955.4499999999998</v>
      </c>
      <c r="K44" s="5">
        <f t="shared" si="7"/>
        <v>2353.4</v>
      </c>
      <c r="L44" s="5"/>
      <c r="M44" s="5">
        <v>1023.9</v>
      </c>
      <c r="N44" s="5">
        <v>1381.8</v>
      </c>
      <c r="O44" s="5">
        <v>1675.45</v>
      </c>
      <c r="P44" s="5"/>
      <c r="Q44" s="5">
        <v>1827.5</v>
      </c>
      <c r="R44" s="5">
        <v>2529.1</v>
      </c>
      <c r="S44" s="5">
        <v>3031.35</v>
      </c>
    </row>
    <row r="45" spans="1:19" ht="12.75">
      <c r="A45" s="16">
        <f t="shared" si="0"/>
        <v>29</v>
      </c>
      <c r="B45" s="1" t="s">
        <v>35</v>
      </c>
      <c r="C45" s="5">
        <f t="shared" si="2"/>
        <v>4727.09</v>
      </c>
      <c r="D45" s="5">
        <f t="shared" si="3"/>
        <v>7123</v>
      </c>
      <c r="E45" s="5"/>
      <c r="F45" s="5"/>
      <c r="G45" s="5">
        <f t="shared" si="4"/>
        <v>5925</v>
      </c>
      <c r="H45" s="5"/>
      <c r="I45" s="5">
        <f t="shared" si="5"/>
        <v>1455.045</v>
      </c>
      <c r="J45" s="5">
        <f t="shared" si="6"/>
        <v>2042.5</v>
      </c>
      <c r="K45" s="5">
        <f t="shared" si="7"/>
        <v>2427.5</v>
      </c>
      <c r="L45" s="5"/>
      <c r="M45" s="5">
        <f>30082-28920.91</f>
        <v>1161.0900000000001</v>
      </c>
      <c r="N45" s="5">
        <f>42249-40620</f>
        <v>1629</v>
      </c>
      <c r="O45" s="5">
        <f>50200-48263</f>
        <v>1937</v>
      </c>
      <c r="P45" s="5"/>
      <c r="Q45" s="5">
        <f>30082-28333</f>
        <v>1749</v>
      </c>
      <c r="R45" s="5">
        <f>42249-39793</f>
        <v>2456</v>
      </c>
      <c r="S45" s="5">
        <f>50200-47282</f>
        <v>2918</v>
      </c>
    </row>
    <row r="46" spans="1:19" ht="12.75">
      <c r="A46" s="16">
        <f t="shared" si="0"/>
        <v>30</v>
      </c>
      <c r="B46" s="1" t="s">
        <v>36</v>
      </c>
      <c r="C46" s="5">
        <f t="shared" si="2"/>
        <v>7446755.680000001</v>
      </c>
      <c r="D46" s="5">
        <f t="shared" si="3"/>
        <v>8143067.65</v>
      </c>
      <c r="E46" s="5"/>
      <c r="F46" s="5"/>
      <c r="G46" s="5">
        <f t="shared" si="4"/>
        <v>7794912</v>
      </c>
      <c r="H46" s="5"/>
      <c r="I46" s="5">
        <f t="shared" si="5"/>
        <v>3501167.255</v>
      </c>
      <c r="J46" s="5">
        <f t="shared" si="6"/>
        <v>593698.45</v>
      </c>
      <c r="K46" s="5">
        <f t="shared" si="7"/>
        <v>3700045.960000001</v>
      </c>
      <c r="L46" s="5"/>
      <c r="M46" s="5">
        <f>5456872.1-2039306.09+0.4</f>
        <v>3417566.4099999997</v>
      </c>
      <c r="N46" s="5">
        <f>2481591-1922807.1</f>
        <v>558783.8999999999</v>
      </c>
      <c r="O46" s="5">
        <f>12441910.55-8971505.18</f>
        <v>3470405.370000001</v>
      </c>
      <c r="P46" s="5"/>
      <c r="Q46" s="5">
        <f>5456872.1-1872104</f>
        <v>3584768.0999999996</v>
      </c>
      <c r="R46" s="5">
        <f>2481591-1852978</f>
        <v>628613</v>
      </c>
      <c r="S46" s="5">
        <f>12546910.55-8617224</f>
        <v>3929686.5500000007</v>
      </c>
    </row>
    <row r="47" spans="1:19" ht="12.75">
      <c r="A47" s="16">
        <f t="shared" si="0"/>
        <v>31</v>
      </c>
      <c r="B47" s="3" t="s">
        <v>114</v>
      </c>
      <c r="C47" s="5">
        <f t="shared" si="2"/>
        <v>5975103.75</v>
      </c>
      <c r="D47" s="5">
        <f t="shared" si="3"/>
        <v>899780</v>
      </c>
      <c r="E47" s="5"/>
      <c r="F47" s="5"/>
      <c r="G47" s="5">
        <f t="shared" si="4"/>
        <v>3437442</v>
      </c>
      <c r="H47" s="5"/>
      <c r="I47" s="5">
        <f t="shared" si="5"/>
        <v>3437441.875</v>
      </c>
      <c r="J47" s="5">
        <f t="shared" si="6"/>
        <v>0</v>
      </c>
      <c r="K47" s="5">
        <f t="shared" si="7"/>
        <v>0</v>
      </c>
      <c r="L47" s="5"/>
      <c r="M47" s="5">
        <v>5975103.75</v>
      </c>
      <c r="N47" s="5">
        <v>0</v>
      </c>
      <c r="O47" s="5">
        <v>0</v>
      </c>
      <c r="P47" s="5"/>
      <c r="Q47" s="5">
        <v>899780</v>
      </c>
      <c r="R47" s="5">
        <v>0</v>
      </c>
      <c r="S47" s="5">
        <v>0</v>
      </c>
    </row>
    <row r="48" spans="1:19" ht="12.75">
      <c r="A48" s="16">
        <f t="shared" si="0"/>
        <v>32</v>
      </c>
      <c r="B48" s="3" t="s">
        <v>115</v>
      </c>
      <c r="C48" s="5">
        <f t="shared" si="2"/>
        <v>20525812.75</v>
      </c>
      <c r="D48" s="5">
        <f t="shared" si="3"/>
        <v>21696482.5</v>
      </c>
      <c r="E48" s="5"/>
      <c r="F48" s="5"/>
      <c r="G48" s="5">
        <f t="shared" si="4"/>
        <v>21111148</v>
      </c>
      <c r="H48" s="5"/>
      <c r="I48" s="5">
        <f t="shared" si="5"/>
        <v>21111147.625</v>
      </c>
      <c r="J48" s="5">
        <f t="shared" si="6"/>
        <v>0</v>
      </c>
      <c r="K48" s="5">
        <f t="shared" si="7"/>
        <v>0</v>
      </c>
      <c r="L48" s="5"/>
      <c r="M48" s="5">
        <v>20525812.75</v>
      </c>
      <c r="N48" s="5">
        <v>0</v>
      </c>
      <c r="O48" s="5">
        <v>0</v>
      </c>
      <c r="P48" s="5"/>
      <c r="Q48" s="5">
        <v>21696482.5</v>
      </c>
      <c r="R48" s="5">
        <v>0</v>
      </c>
      <c r="S48" s="5">
        <v>0</v>
      </c>
    </row>
    <row r="49" spans="1:19" ht="12.75">
      <c r="A49" s="16">
        <f t="shared" si="0"/>
        <v>33</v>
      </c>
      <c r="B49" s="1" t="s">
        <v>90</v>
      </c>
      <c r="C49" s="5">
        <f t="shared" si="2"/>
        <v>297519.9</v>
      </c>
      <c r="D49" s="5">
        <f t="shared" si="3"/>
        <v>267137.30000000005</v>
      </c>
      <c r="E49" s="5"/>
      <c r="F49" s="5"/>
      <c r="G49" s="5">
        <f t="shared" si="4"/>
        <v>282329</v>
      </c>
      <c r="H49" s="5"/>
      <c r="I49" s="5">
        <f t="shared" si="5"/>
        <v>0</v>
      </c>
      <c r="J49" s="5">
        <f t="shared" si="6"/>
        <v>-11254.349999999999</v>
      </c>
      <c r="K49" s="5">
        <f t="shared" si="7"/>
        <v>293582.95</v>
      </c>
      <c r="L49" s="5"/>
      <c r="M49" s="5">
        <v>0</v>
      </c>
      <c r="N49" s="5">
        <f>14155-24993.85</f>
        <v>-10838.849999999999</v>
      </c>
      <c r="O49" s="5">
        <f>375301.5-66942.75</f>
        <v>308358.75</v>
      </c>
      <c r="P49" s="5"/>
      <c r="Q49" s="5">
        <v>0</v>
      </c>
      <c r="R49" s="5">
        <f>-24993.85+13324</f>
        <v>-11669.849999999999</v>
      </c>
      <c r="S49" s="5">
        <f>336087.15-57280</f>
        <v>278807.15</v>
      </c>
    </row>
    <row r="50" spans="1:19" ht="12.75">
      <c r="A50" s="16">
        <f aca="true" t="shared" si="8" ref="A50:A81">A49+1</f>
        <v>34</v>
      </c>
      <c r="B50" s="3" t="s">
        <v>112</v>
      </c>
      <c r="C50" s="5">
        <f t="shared" si="2"/>
        <v>164484.59999999998</v>
      </c>
      <c r="D50" s="5">
        <f t="shared" si="3"/>
        <v>164484.59999999998</v>
      </c>
      <c r="E50" s="5"/>
      <c r="F50" s="5"/>
      <c r="G50" s="5">
        <f t="shared" si="4"/>
        <v>164485</v>
      </c>
      <c r="H50" s="5"/>
      <c r="I50" s="5">
        <f t="shared" si="5"/>
        <v>115406.9</v>
      </c>
      <c r="J50" s="5">
        <f t="shared" si="6"/>
        <v>2159.15</v>
      </c>
      <c r="K50" s="5">
        <f t="shared" si="7"/>
        <v>46918.55</v>
      </c>
      <c r="L50" s="5"/>
      <c r="M50" s="5">
        <v>115406.9</v>
      </c>
      <c r="N50" s="5">
        <v>2159.15</v>
      </c>
      <c r="O50" s="5">
        <v>46918.55</v>
      </c>
      <c r="P50" s="5"/>
      <c r="Q50" s="5">
        <v>115406.9</v>
      </c>
      <c r="R50" s="5">
        <v>2159.15</v>
      </c>
      <c r="S50" s="5">
        <v>46918.55</v>
      </c>
    </row>
    <row r="51" spans="1:19" ht="12.75">
      <c r="A51" s="16">
        <f t="shared" si="8"/>
        <v>35</v>
      </c>
      <c r="B51" s="3" t="s">
        <v>108</v>
      </c>
      <c r="C51" s="5">
        <f t="shared" si="2"/>
        <v>0</v>
      </c>
      <c r="D51" s="5">
        <f t="shared" si="3"/>
        <v>-42007.7</v>
      </c>
      <c r="E51" s="5"/>
      <c r="F51" s="5"/>
      <c r="G51" s="5">
        <f t="shared" si="4"/>
        <v>-21004</v>
      </c>
      <c r="H51" s="5"/>
      <c r="I51" s="5">
        <f t="shared" si="5"/>
        <v>-1280.475</v>
      </c>
      <c r="J51" s="5">
        <f t="shared" si="6"/>
        <v>0</v>
      </c>
      <c r="K51" s="5">
        <f t="shared" si="7"/>
        <v>-19723.375</v>
      </c>
      <c r="L51" s="5"/>
      <c r="M51" s="5">
        <v>0</v>
      </c>
      <c r="N51" s="5">
        <v>0</v>
      </c>
      <c r="O51" s="5">
        <v>0</v>
      </c>
      <c r="P51" s="5"/>
      <c r="Q51" s="5">
        <v>-2560.95</v>
      </c>
      <c r="R51" s="5">
        <v>0</v>
      </c>
      <c r="S51" s="5">
        <v>-39446.75</v>
      </c>
    </row>
    <row r="52" spans="1:19" ht="12.75">
      <c r="A52" s="16">
        <f t="shared" si="8"/>
        <v>36</v>
      </c>
      <c r="B52" s="1" t="s">
        <v>25</v>
      </c>
      <c r="C52" s="5">
        <f>SUM(P52:R52)</f>
        <v>0</v>
      </c>
      <c r="D52" s="5">
        <f t="shared" si="3"/>
        <v>0</v>
      </c>
      <c r="E52" s="5">
        <f aca="true" t="shared" si="9" ref="E52:F54">-C52</f>
        <v>0</v>
      </c>
      <c r="F52" s="5">
        <f t="shared" si="9"/>
        <v>0</v>
      </c>
      <c r="G52" s="5">
        <f t="shared" si="4"/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16">
        <f t="shared" si="8"/>
        <v>37</v>
      </c>
      <c r="B53" s="1" t="s">
        <v>38</v>
      </c>
      <c r="C53" s="5">
        <v>51839004</v>
      </c>
      <c r="D53" s="5">
        <v>52419036.93</v>
      </c>
      <c r="E53" s="5">
        <f t="shared" si="9"/>
        <v>-51839004</v>
      </c>
      <c r="F53" s="5">
        <f t="shared" si="9"/>
        <v>-52419036.93</v>
      </c>
      <c r="G53" s="5">
        <f t="shared" si="4"/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16">
        <f t="shared" si="8"/>
        <v>38</v>
      </c>
      <c r="B54" s="1" t="s">
        <v>39</v>
      </c>
      <c r="C54" s="5">
        <v>-663179</v>
      </c>
      <c r="D54" s="5">
        <v>-709138</v>
      </c>
      <c r="E54" s="5">
        <f t="shared" si="9"/>
        <v>663179</v>
      </c>
      <c r="F54" s="5">
        <f t="shared" si="9"/>
        <v>709138</v>
      </c>
      <c r="G54" s="5">
        <f t="shared" si="4"/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16">
        <f t="shared" si="8"/>
        <v>39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3.5" thickBot="1">
      <c r="A56" s="16">
        <f t="shared" si="8"/>
        <v>40</v>
      </c>
      <c r="B56" s="1" t="s">
        <v>40</v>
      </c>
      <c r="C56" s="17">
        <f>SUM(C28:C55)</f>
        <v>243161376.86</v>
      </c>
      <c r="D56" s="17">
        <f>SUM(D28:D55)</f>
        <v>220158670.8</v>
      </c>
      <c r="E56" s="17">
        <f>SUM(E28:E55)</f>
        <v>-51175825</v>
      </c>
      <c r="F56" s="17">
        <f>SUM(F28:F55)</f>
        <v>-51709898.93</v>
      </c>
      <c r="G56" s="17">
        <f>SUM(G28:G55)</f>
        <v>180217164</v>
      </c>
      <c r="H56" s="17"/>
      <c r="I56" s="17">
        <f>SUM(I28:I55)</f>
        <v>51817267.43000001</v>
      </c>
      <c r="J56" s="17">
        <f>SUM(J28:J55)</f>
        <v>52643625.019999996</v>
      </c>
      <c r="K56" s="17">
        <f>SUM(K28:K55)</f>
        <v>75756269.41499999</v>
      </c>
      <c r="L56" s="17"/>
      <c r="M56" s="17">
        <f>SUM(M28:M55)</f>
        <v>54081119.04</v>
      </c>
      <c r="N56" s="17">
        <f>SUM(N28:N55)</f>
        <v>57250722.9</v>
      </c>
      <c r="O56" s="17">
        <f>SUM(O28:O55)</f>
        <v>80653709.92</v>
      </c>
      <c r="P56" s="5"/>
      <c r="Q56" s="17">
        <f>SUM(Q28:Q55)</f>
        <v>49553415.81999999</v>
      </c>
      <c r="R56" s="17">
        <f>SUM(R28:R55)</f>
        <v>48036527.13999999</v>
      </c>
      <c r="S56" s="17">
        <f>SUM(S28:S55)</f>
        <v>70858828.91000001</v>
      </c>
    </row>
    <row r="57" spans="1:19" ht="13.5" thickTop="1">
      <c r="A57" s="16">
        <f t="shared" si="8"/>
        <v>41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5"/>
      <c r="Q57" s="18"/>
      <c r="R57" s="18"/>
      <c r="S57" s="18"/>
    </row>
    <row r="58" spans="1:19" ht="12.75">
      <c r="A58" s="16">
        <f t="shared" si="8"/>
        <v>42</v>
      </c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16">
        <f t="shared" si="8"/>
        <v>43</v>
      </c>
      <c r="B59" s="3" t="s">
        <v>65</v>
      </c>
      <c r="C59" s="5" t="s">
        <v>24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16">
        <f t="shared" si="8"/>
        <v>44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16">
        <f t="shared" si="8"/>
        <v>45</v>
      </c>
      <c r="B61" s="3" t="s">
        <v>403</v>
      </c>
      <c r="C61" s="5">
        <f aca="true" t="shared" si="10" ref="C61:C81">SUM(M61:O61)</f>
        <v>1117407.32</v>
      </c>
      <c r="D61" s="5">
        <f aca="true" t="shared" si="11" ref="D61:D81">SUM(Q61:S61)</f>
        <v>1009496.02</v>
      </c>
      <c r="E61" s="5"/>
      <c r="F61" s="5"/>
      <c r="G61" s="5">
        <f aca="true" t="shared" si="12" ref="G61:G86">ROUND(SUM(C61:F61)/2,0)</f>
        <v>1063452</v>
      </c>
      <c r="H61" s="5"/>
      <c r="I61" s="5">
        <f aca="true" t="shared" si="13" ref="I61:I81">(+M61+Q61)/2</f>
        <v>1063451.67</v>
      </c>
      <c r="J61" s="5">
        <f aca="true" t="shared" si="14" ref="J61:J81">(+N61+R61)/2</f>
        <v>0</v>
      </c>
      <c r="K61" s="5">
        <f aca="true" t="shared" si="15" ref="K61:K81">(+O61+S61)/2</f>
        <v>0</v>
      </c>
      <c r="L61" s="5"/>
      <c r="M61" s="5">
        <v>1117407.32</v>
      </c>
      <c r="N61" s="5">
        <v>0</v>
      </c>
      <c r="O61" s="5">
        <v>0</v>
      </c>
      <c r="P61" s="5"/>
      <c r="Q61" s="5">
        <v>1009496.02</v>
      </c>
      <c r="R61" s="5">
        <v>0</v>
      </c>
      <c r="S61" s="5">
        <v>0</v>
      </c>
    </row>
    <row r="62" spans="1:19" ht="12.75">
      <c r="A62" s="16">
        <f t="shared" si="8"/>
        <v>46</v>
      </c>
      <c r="B62" s="3" t="s">
        <v>404</v>
      </c>
      <c r="C62" s="5">
        <f t="shared" si="10"/>
        <v>299852.65</v>
      </c>
      <c r="D62" s="5">
        <f t="shared" si="11"/>
        <v>307351.75</v>
      </c>
      <c r="E62" s="5"/>
      <c r="F62" s="5"/>
      <c r="G62" s="5">
        <f t="shared" si="12"/>
        <v>303602</v>
      </c>
      <c r="H62" s="5"/>
      <c r="I62" s="5">
        <f t="shared" si="13"/>
        <v>303602.2</v>
      </c>
      <c r="J62" s="5">
        <f t="shared" si="14"/>
        <v>0</v>
      </c>
      <c r="K62" s="5">
        <f t="shared" si="15"/>
        <v>0</v>
      </c>
      <c r="L62" s="5"/>
      <c r="M62" s="5">
        <v>299852.65</v>
      </c>
      <c r="N62" s="5">
        <v>0</v>
      </c>
      <c r="O62" s="5">
        <v>0</v>
      </c>
      <c r="P62" s="5"/>
      <c r="Q62" s="5">
        <v>307351.75</v>
      </c>
      <c r="R62" s="5">
        <v>0</v>
      </c>
      <c r="S62" s="5">
        <v>0</v>
      </c>
    </row>
    <row r="63" spans="1:19" ht="12.75">
      <c r="A63" s="16">
        <f t="shared" si="8"/>
        <v>47</v>
      </c>
      <c r="B63" s="3" t="s">
        <v>405</v>
      </c>
      <c r="C63" s="5">
        <f t="shared" si="10"/>
        <v>1659606.55</v>
      </c>
      <c r="D63" s="5">
        <f t="shared" si="11"/>
        <v>1659606.55</v>
      </c>
      <c r="E63" s="5"/>
      <c r="F63" s="5"/>
      <c r="G63" s="5">
        <f t="shared" si="12"/>
        <v>1659607</v>
      </c>
      <c r="H63" s="5"/>
      <c r="I63" s="5">
        <f t="shared" si="13"/>
        <v>1659606.55</v>
      </c>
      <c r="J63" s="5">
        <f t="shared" si="14"/>
        <v>0</v>
      </c>
      <c r="K63" s="5">
        <f t="shared" si="15"/>
        <v>0</v>
      </c>
      <c r="L63" s="5"/>
      <c r="M63" s="5">
        <v>1659606.55</v>
      </c>
      <c r="N63" s="5">
        <v>0</v>
      </c>
      <c r="O63" s="5">
        <v>0</v>
      </c>
      <c r="P63" s="5"/>
      <c r="Q63" s="5">
        <v>1659606.55</v>
      </c>
      <c r="R63" s="5">
        <v>0</v>
      </c>
      <c r="S63" s="5">
        <v>0</v>
      </c>
    </row>
    <row r="64" spans="1:19" ht="12.75">
      <c r="A64" s="16">
        <f t="shared" si="8"/>
        <v>48</v>
      </c>
      <c r="B64" s="1" t="s">
        <v>41</v>
      </c>
      <c r="C64" s="5">
        <f t="shared" si="10"/>
        <v>3573183.6</v>
      </c>
      <c r="D64" s="5">
        <f t="shared" si="11"/>
        <v>4503129.92</v>
      </c>
      <c r="E64" s="5"/>
      <c r="F64" s="5"/>
      <c r="G64" s="5">
        <f t="shared" si="12"/>
        <v>4038157</v>
      </c>
      <c r="H64" s="5"/>
      <c r="I64" s="5">
        <f t="shared" si="13"/>
        <v>4038156.76</v>
      </c>
      <c r="J64" s="5">
        <f t="shared" si="14"/>
        <v>0</v>
      </c>
      <c r="K64" s="5">
        <f t="shared" si="15"/>
        <v>0</v>
      </c>
      <c r="L64" s="5"/>
      <c r="M64" s="5">
        <v>3573183.6</v>
      </c>
      <c r="N64" s="5">
        <v>0</v>
      </c>
      <c r="O64" s="5">
        <v>0</v>
      </c>
      <c r="P64" s="5"/>
      <c r="Q64" s="5">
        <v>4503129.92</v>
      </c>
      <c r="R64" s="5">
        <v>0</v>
      </c>
      <c r="S64" s="5">
        <v>0</v>
      </c>
    </row>
    <row r="65" spans="1:19" ht="12.75">
      <c r="A65" s="16">
        <f t="shared" si="8"/>
        <v>49</v>
      </c>
      <c r="B65" s="3" t="s">
        <v>101</v>
      </c>
      <c r="C65" s="5">
        <f t="shared" si="10"/>
        <v>45307.15</v>
      </c>
      <c r="D65" s="5">
        <f t="shared" si="11"/>
        <v>-0.22</v>
      </c>
      <c r="E65" s="5"/>
      <c r="F65" s="5"/>
      <c r="G65" s="5">
        <f t="shared" si="12"/>
        <v>22653</v>
      </c>
      <c r="H65" s="5"/>
      <c r="I65" s="5">
        <f t="shared" si="13"/>
        <v>22653.465</v>
      </c>
      <c r="J65" s="5">
        <f t="shared" si="14"/>
        <v>0</v>
      </c>
      <c r="K65" s="5">
        <f t="shared" si="15"/>
        <v>0</v>
      </c>
      <c r="L65" s="5"/>
      <c r="M65" s="5">
        <v>45307.15</v>
      </c>
      <c r="N65" s="5">
        <v>0</v>
      </c>
      <c r="O65" s="5">
        <v>0</v>
      </c>
      <c r="P65" s="5"/>
      <c r="Q65" s="5">
        <v>-0.22</v>
      </c>
      <c r="R65" s="5">
        <v>0</v>
      </c>
      <c r="S65" s="5">
        <v>0</v>
      </c>
    </row>
    <row r="66" spans="1:19" ht="12.75">
      <c r="A66" s="16">
        <f t="shared" si="8"/>
        <v>50</v>
      </c>
      <c r="B66" s="3" t="s">
        <v>406</v>
      </c>
      <c r="C66" s="5">
        <f t="shared" si="10"/>
        <v>0</v>
      </c>
      <c r="D66" s="5">
        <f t="shared" si="11"/>
        <v>0</v>
      </c>
      <c r="E66" s="5"/>
      <c r="F66" s="5"/>
      <c r="G66" s="5">
        <f t="shared" si="12"/>
        <v>0</v>
      </c>
      <c r="H66" s="5"/>
      <c r="I66" s="5">
        <f t="shared" si="13"/>
        <v>0</v>
      </c>
      <c r="J66" s="5">
        <f t="shared" si="14"/>
        <v>0</v>
      </c>
      <c r="K66" s="5">
        <f t="shared" si="15"/>
        <v>0</v>
      </c>
      <c r="L66" s="5"/>
      <c r="M66" s="5">
        <v>0</v>
      </c>
      <c r="N66" s="5">
        <v>0</v>
      </c>
      <c r="O66" s="5">
        <v>0</v>
      </c>
      <c r="P66" s="5"/>
      <c r="Q66" s="5">
        <v>0</v>
      </c>
      <c r="R66" s="5">
        <v>0</v>
      </c>
      <c r="S66" s="5">
        <v>0</v>
      </c>
    </row>
    <row r="67" spans="1:19" ht="12.75">
      <c r="A67" s="16">
        <f t="shared" si="8"/>
        <v>51</v>
      </c>
      <c r="B67" s="3" t="s">
        <v>93</v>
      </c>
      <c r="C67" s="5">
        <f t="shared" si="10"/>
        <v>-16242518.95</v>
      </c>
      <c r="D67" s="5">
        <f t="shared" si="11"/>
        <v>-15032642.1</v>
      </c>
      <c r="E67" s="5"/>
      <c r="F67" s="5"/>
      <c r="G67" s="5">
        <f t="shared" si="12"/>
        <v>-15637581</v>
      </c>
      <c r="H67" s="5"/>
      <c r="I67" s="5">
        <f t="shared" si="13"/>
        <v>-4564567.175</v>
      </c>
      <c r="J67" s="5">
        <f t="shared" si="14"/>
        <v>-801531.675</v>
      </c>
      <c r="K67" s="5">
        <f t="shared" si="15"/>
        <v>-10271481.675</v>
      </c>
      <c r="L67" s="5"/>
      <c r="M67" s="5">
        <v>-4842253.85</v>
      </c>
      <c r="N67" s="5">
        <v>-823770.85</v>
      </c>
      <c r="O67" s="5">
        <v>-10576494.25</v>
      </c>
      <c r="P67" s="5"/>
      <c r="Q67" s="5">
        <v>-4286880.5</v>
      </c>
      <c r="R67" s="5">
        <v>-779292.5</v>
      </c>
      <c r="S67" s="5">
        <v>-9966469.1</v>
      </c>
    </row>
    <row r="68" spans="1:19" ht="12.75">
      <c r="A68" s="16">
        <f t="shared" si="8"/>
        <v>52</v>
      </c>
      <c r="B68" s="3" t="s">
        <v>283</v>
      </c>
      <c r="C68" s="5">
        <f t="shared" si="10"/>
        <v>355791.7</v>
      </c>
      <c r="D68" s="5">
        <f t="shared" si="11"/>
        <v>323718.66</v>
      </c>
      <c r="E68" s="5"/>
      <c r="F68" s="5"/>
      <c r="G68" s="5">
        <f t="shared" si="12"/>
        <v>339755</v>
      </c>
      <c r="H68" s="5"/>
      <c r="I68" s="5">
        <f t="shared" si="13"/>
        <v>0</v>
      </c>
      <c r="J68" s="5">
        <f t="shared" si="14"/>
        <v>339755.18</v>
      </c>
      <c r="K68" s="5">
        <f t="shared" si="15"/>
        <v>0</v>
      </c>
      <c r="L68" s="5"/>
      <c r="M68" s="5">
        <v>0</v>
      </c>
      <c r="N68" s="5">
        <v>355791.7</v>
      </c>
      <c r="O68" s="5">
        <v>0</v>
      </c>
      <c r="P68" s="5"/>
      <c r="Q68" s="5">
        <v>0</v>
      </c>
      <c r="R68" s="5">
        <v>323718.66</v>
      </c>
      <c r="S68" s="5">
        <v>0</v>
      </c>
    </row>
    <row r="69" spans="1:19" ht="12.75">
      <c r="A69" s="16">
        <f t="shared" si="8"/>
        <v>53</v>
      </c>
      <c r="B69" s="3" t="s">
        <v>407</v>
      </c>
      <c r="C69" s="5">
        <f t="shared" si="10"/>
        <v>55989.99</v>
      </c>
      <c r="D69" s="5">
        <f t="shared" si="11"/>
        <v>9277.1</v>
      </c>
      <c r="E69" s="5"/>
      <c r="F69" s="5"/>
      <c r="G69" s="5">
        <f t="shared" si="12"/>
        <v>32634</v>
      </c>
      <c r="H69" s="5"/>
      <c r="I69" s="5">
        <f t="shared" si="13"/>
        <v>0</v>
      </c>
      <c r="J69" s="5">
        <f t="shared" si="14"/>
        <v>0</v>
      </c>
      <c r="K69" s="5">
        <f t="shared" si="15"/>
        <v>32633.545</v>
      </c>
      <c r="L69" s="5"/>
      <c r="M69" s="5">
        <v>0</v>
      </c>
      <c r="N69" s="5">
        <v>0</v>
      </c>
      <c r="O69" s="5">
        <v>55989.99</v>
      </c>
      <c r="P69" s="5"/>
      <c r="Q69" s="5">
        <v>0</v>
      </c>
      <c r="R69" s="5">
        <v>0</v>
      </c>
      <c r="S69" s="5">
        <v>9277.1</v>
      </c>
    </row>
    <row r="70" spans="1:19" ht="12.75">
      <c r="A70" s="16">
        <f t="shared" si="8"/>
        <v>54</v>
      </c>
      <c r="B70" s="3" t="s">
        <v>408</v>
      </c>
      <c r="C70" s="5">
        <f t="shared" si="10"/>
        <v>241733.4</v>
      </c>
      <c r="D70" s="5">
        <f t="shared" si="11"/>
        <v>251274.4</v>
      </c>
      <c r="E70" s="5"/>
      <c r="F70" s="5"/>
      <c r="G70" s="5">
        <f t="shared" si="12"/>
        <v>246504</v>
      </c>
      <c r="H70" s="5"/>
      <c r="I70" s="5">
        <f t="shared" si="13"/>
        <v>246503.9</v>
      </c>
      <c r="J70" s="5">
        <f t="shared" si="14"/>
        <v>0</v>
      </c>
      <c r="K70" s="5">
        <f t="shared" si="15"/>
        <v>0</v>
      </c>
      <c r="L70" s="5"/>
      <c r="M70" s="5">
        <v>241733.4</v>
      </c>
      <c r="N70" s="5">
        <v>0</v>
      </c>
      <c r="O70" s="5">
        <v>0</v>
      </c>
      <c r="P70" s="5"/>
      <c r="Q70" s="5">
        <v>251274.4</v>
      </c>
      <c r="R70" s="5">
        <v>0</v>
      </c>
      <c r="S70" s="5">
        <v>0</v>
      </c>
    </row>
    <row r="71" spans="1:19" ht="12.75">
      <c r="A71" s="16">
        <f t="shared" si="8"/>
        <v>55</v>
      </c>
      <c r="B71" s="1" t="s">
        <v>288</v>
      </c>
      <c r="C71" s="5">
        <f t="shared" si="10"/>
        <v>-20416.55</v>
      </c>
      <c r="D71" s="5">
        <f t="shared" si="11"/>
        <v>-20416.55</v>
      </c>
      <c r="E71" s="5"/>
      <c r="F71" s="5"/>
      <c r="G71" s="5">
        <f t="shared" si="12"/>
        <v>-20417</v>
      </c>
      <c r="H71" s="5"/>
      <c r="I71" s="5">
        <f t="shared" si="13"/>
        <v>-20416.55</v>
      </c>
      <c r="J71" s="5">
        <f t="shared" si="14"/>
        <v>0</v>
      </c>
      <c r="K71" s="5">
        <f t="shared" si="15"/>
        <v>0</v>
      </c>
      <c r="L71" s="5"/>
      <c r="M71" s="5">
        <v>-20416.55</v>
      </c>
      <c r="N71" s="5">
        <v>0</v>
      </c>
      <c r="O71" s="5">
        <v>0</v>
      </c>
      <c r="P71" s="5"/>
      <c r="Q71" s="5">
        <v>-20416.55</v>
      </c>
      <c r="R71" s="5">
        <v>0</v>
      </c>
      <c r="S71" s="5">
        <v>0</v>
      </c>
    </row>
    <row r="72" spans="1:19" ht="12.75">
      <c r="A72" s="16">
        <f t="shared" si="8"/>
        <v>56</v>
      </c>
      <c r="B72" s="1" t="s">
        <v>42</v>
      </c>
      <c r="C72" s="5">
        <f t="shared" si="10"/>
        <v>0.45</v>
      </c>
      <c r="D72" s="5">
        <f t="shared" si="11"/>
        <v>13496.45</v>
      </c>
      <c r="E72" s="5"/>
      <c r="F72" s="5"/>
      <c r="G72" s="5">
        <f t="shared" si="12"/>
        <v>6748</v>
      </c>
      <c r="H72" s="5"/>
      <c r="I72" s="5">
        <f t="shared" si="13"/>
        <v>6748.450000000001</v>
      </c>
      <c r="J72" s="5">
        <f t="shared" si="14"/>
        <v>0</v>
      </c>
      <c r="K72" s="5">
        <f t="shared" si="15"/>
        <v>0</v>
      </c>
      <c r="L72" s="5"/>
      <c r="M72" s="5">
        <v>0.45</v>
      </c>
      <c r="N72" s="5">
        <v>0</v>
      </c>
      <c r="O72" s="5">
        <v>0</v>
      </c>
      <c r="P72" s="5"/>
      <c r="Q72" s="5">
        <v>13496.45</v>
      </c>
      <c r="R72" s="5">
        <v>0</v>
      </c>
      <c r="S72" s="5">
        <v>0</v>
      </c>
    </row>
    <row r="73" spans="1:19" ht="12.75">
      <c r="A73" s="16">
        <f t="shared" si="8"/>
        <v>57</v>
      </c>
      <c r="B73" s="3" t="s">
        <v>409</v>
      </c>
      <c r="C73" s="5">
        <f t="shared" si="10"/>
        <v>16242518.95</v>
      </c>
      <c r="D73" s="5">
        <f t="shared" si="11"/>
        <v>15032642.1</v>
      </c>
      <c r="E73" s="5"/>
      <c r="F73" s="5"/>
      <c r="G73" s="5">
        <f t="shared" si="12"/>
        <v>15637581</v>
      </c>
      <c r="H73" s="5"/>
      <c r="I73" s="5">
        <f t="shared" si="13"/>
        <v>4564567.175</v>
      </c>
      <c r="J73" s="5">
        <f t="shared" si="14"/>
        <v>801531.675</v>
      </c>
      <c r="K73" s="5">
        <f t="shared" si="15"/>
        <v>10271481.675</v>
      </c>
      <c r="L73" s="5"/>
      <c r="M73" s="5">
        <v>4842253.85</v>
      </c>
      <c r="N73" s="5">
        <v>823770.85</v>
      </c>
      <c r="O73" s="5">
        <v>10576494.25</v>
      </c>
      <c r="P73" s="5"/>
      <c r="Q73" s="5">
        <v>4286880.5</v>
      </c>
      <c r="R73" s="5">
        <v>779292.5</v>
      </c>
      <c r="S73" s="5">
        <v>9966469.1</v>
      </c>
    </row>
    <row r="74" spans="1:19" ht="12.75">
      <c r="A74" s="16">
        <f t="shared" si="8"/>
        <v>58</v>
      </c>
      <c r="B74" s="3" t="s">
        <v>410</v>
      </c>
      <c r="C74" s="5">
        <f t="shared" si="10"/>
        <v>-45677.1</v>
      </c>
      <c r="D74" s="5">
        <f t="shared" si="11"/>
        <v>-45327.1</v>
      </c>
      <c r="E74" s="5"/>
      <c r="F74" s="5"/>
      <c r="G74" s="5">
        <f t="shared" si="12"/>
        <v>-45502</v>
      </c>
      <c r="H74" s="5"/>
      <c r="I74" s="5">
        <f t="shared" si="13"/>
        <v>-52.85</v>
      </c>
      <c r="J74" s="5">
        <f t="shared" si="14"/>
        <v>0</v>
      </c>
      <c r="K74" s="5">
        <f t="shared" si="15"/>
        <v>-45449.25</v>
      </c>
      <c r="L74" s="5"/>
      <c r="M74" s="5">
        <v>-52.85</v>
      </c>
      <c r="N74" s="5">
        <v>0</v>
      </c>
      <c r="O74" s="5">
        <v>-45624.25</v>
      </c>
      <c r="P74" s="5"/>
      <c r="Q74" s="5">
        <v>-52.85</v>
      </c>
      <c r="R74" s="5">
        <v>0</v>
      </c>
      <c r="S74" s="5">
        <v>-45274.25</v>
      </c>
    </row>
    <row r="75" spans="1:19" ht="12.75">
      <c r="A75" s="16">
        <f t="shared" si="8"/>
        <v>59</v>
      </c>
      <c r="B75" s="3" t="s">
        <v>411</v>
      </c>
      <c r="C75" s="5">
        <f t="shared" si="10"/>
        <v>7040371.449999999</v>
      </c>
      <c r="D75" s="5">
        <f t="shared" si="11"/>
        <v>5611293.8</v>
      </c>
      <c r="E75" s="5"/>
      <c r="F75" s="5"/>
      <c r="G75" s="5">
        <f t="shared" si="12"/>
        <v>6325833</v>
      </c>
      <c r="H75" s="5"/>
      <c r="I75" s="5">
        <f t="shared" si="13"/>
        <v>2100883.225</v>
      </c>
      <c r="J75" s="5">
        <f t="shared" si="14"/>
        <v>471177.35</v>
      </c>
      <c r="K75" s="5">
        <f t="shared" si="15"/>
        <v>3753772.05</v>
      </c>
      <c r="L75" s="5"/>
      <c r="M75" s="5">
        <v>2391939.9</v>
      </c>
      <c r="N75" s="5">
        <v>526786.75</v>
      </c>
      <c r="O75" s="5">
        <v>4121644.8</v>
      </c>
      <c r="P75" s="5"/>
      <c r="Q75" s="5">
        <v>1809826.55</v>
      </c>
      <c r="R75" s="5">
        <v>415567.95</v>
      </c>
      <c r="S75" s="5">
        <v>3385899.3</v>
      </c>
    </row>
    <row r="76" spans="1:19" ht="12.75">
      <c r="A76" s="16">
        <f t="shared" si="8"/>
        <v>60</v>
      </c>
      <c r="B76" s="3" t="s">
        <v>135</v>
      </c>
      <c r="C76" s="5">
        <f t="shared" si="10"/>
        <v>316794.7</v>
      </c>
      <c r="D76" s="5">
        <f t="shared" si="11"/>
        <v>0</v>
      </c>
      <c r="E76" s="5"/>
      <c r="F76" s="5"/>
      <c r="G76" s="5">
        <f t="shared" si="12"/>
        <v>158397</v>
      </c>
      <c r="H76" s="5"/>
      <c r="I76" s="5">
        <f t="shared" si="13"/>
        <v>158397.35</v>
      </c>
      <c r="J76" s="5">
        <f t="shared" si="14"/>
        <v>0</v>
      </c>
      <c r="K76" s="5">
        <f t="shared" si="15"/>
        <v>0</v>
      </c>
      <c r="L76" s="5"/>
      <c r="M76" s="5">
        <v>316794.7</v>
      </c>
      <c r="N76" s="5">
        <v>0</v>
      </c>
      <c r="O76" s="5">
        <v>0</v>
      </c>
      <c r="P76" s="5"/>
      <c r="Q76" s="5">
        <v>0</v>
      </c>
      <c r="R76" s="5">
        <v>0</v>
      </c>
      <c r="S76" s="5">
        <v>0</v>
      </c>
    </row>
    <row r="77" spans="1:19" ht="12.75">
      <c r="A77" s="16">
        <f t="shared" si="8"/>
        <v>61</v>
      </c>
      <c r="B77" s="3" t="s">
        <v>100</v>
      </c>
      <c r="C77" s="5">
        <f t="shared" si="10"/>
        <v>324295.3</v>
      </c>
      <c r="D77" s="5">
        <f t="shared" si="11"/>
        <v>384168.4</v>
      </c>
      <c r="E77" s="5"/>
      <c r="F77" s="5"/>
      <c r="G77" s="5">
        <f t="shared" si="12"/>
        <v>354232</v>
      </c>
      <c r="H77" s="5"/>
      <c r="I77" s="5">
        <f t="shared" si="13"/>
        <v>21575.05</v>
      </c>
      <c r="J77" s="5">
        <f t="shared" si="14"/>
        <v>227.32500000000005</v>
      </c>
      <c r="K77" s="5">
        <f t="shared" si="15"/>
        <v>332429.475</v>
      </c>
      <c r="L77" s="5"/>
      <c r="M77" s="5">
        <v>26182.1</v>
      </c>
      <c r="N77" s="5">
        <v>-715.75</v>
      </c>
      <c r="O77" s="5">
        <v>298828.95</v>
      </c>
      <c r="P77" s="5"/>
      <c r="Q77" s="5">
        <v>16968</v>
      </c>
      <c r="R77" s="5">
        <v>1170.4</v>
      </c>
      <c r="S77" s="5">
        <v>366030</v>
      </c>
    </row>
    <row r="78" spans="1:19" ht="12.75">
      <c r="A78" s="16">
        <f t="shared" si="8"/>
        <v>62</v>
      </c>
      <c r="B78" s="1" t="s">
        <v>302</v>
      </c>
      <c r="C78" s="5">
        <f t="shared" si="10"/>
        <v>1796218.3699999999</v>
      </c>
      <c r="D78" s="5">
        <f t="shared" si="11"/>
        <v>1825350.27</v>
      </c>
      <c r="E78" s="5"/>
      <c r="F78" s="5"/>
      <c r="G78" s="5">
        <f t="shared" si="12"/>
        <v>1810784</v>
      </c>
      <c r="H78" s="5"/>
      <c r="I78" s="5">
        <f t="shared" si="13"/>
        <v>715108.62</v>
      </c>
      <c r="J78" s="5">
        <f t="shared" si="14"/>
        <v>286946.235</v>
      </c>
      <c r="K78" s="5">
        <f t="shared" si="15"/>
        <v>808729.465</v>
      </c>
      <c r="L78" s="5"/>
      <c r="M78" s="5">
        <v>663863.72</v>
      </c>
      <c r="N78" s="5">
        <v>325310.96</v>
      </c>
      <c r="O78" s="5">
        <v>807043.69</v>
      </c>
      <c r="P78" s="5"/>
      <c r="Q78" s="5">
        <v>766353.52</v>
      </c>
      <c r="R78" s="5">
        <v>248581.51</v>
      </c>
      <c r="S78" s="5">
        <v>810415.24</v>
      </c>
    </row>
    <row r="79" spans="1:19" ht="12.75">
      <c r="A79" s="16">
        <f t="shared" si="8"/>
        <v>63</v>
      </c>
      <c r="B79" s="1" t="s">
        <v>43</v>
      </c>
      <c r="C79" s="5">
        <f t="shared" si="10"/>
        <v>246335.57</v>
      </c>
      <c r="D79" s="5">
        <f t="shared" si="11"/>
        <v>258112.58000000002</v>
      </c>
      <c r="E79" s="5"/>
      <c r="F79" s="5"/>
      <c r="G79" s="5">
        <f t="shared" si="12"/>
        <v>252224</v>
      </c>
      <c r="H79" s="5"/>
      <c r="I79" s="5">
        <f t="shared" si="13"/>
        <v>95602.855</v>
      </c>
      <c r="J79" s="5">
        <f t="shared" si="14"/>
        <v>68529.565</v>
      </c>
      <c r="K79" s="5">
        <f t="shared" si="15"/>
        <v>88091.655</v>
      </c>
      <c r="L79" s="5"/>
      <c r="M79" s="5">
        <v>93370.87</v>
      </c>
      <c r="N79" s="5">
        <v>66929.66</v>
      </c>
      <c r="O79" s="5">
        <v>86035.04</v>
      </c>
      <c r="P79" s="5"/>
      <c r="Q79" s="5">
        <v>97834.84</v>
      </c>
      <c r="R79" s="5">
        <v>70129.47</v>
      </c>
      <c r="S79" s="5">
        <v>90148.27</v>
      </c>
    </row>
    <row r="80" spans="1:19" ht="12.75">
      <c r="A80" s="16">
        <f t="shared" si="8"/>
        <v>64</v>
      </c>
      <c r="B80" s="1" t="s">
        <v>316</v>
      </c>
      <c r="C80" s="5">
        <f t="shared" si="10"/>
        <v>-0.029999999999999995</v>
      </c>
      <c r="D80" s="5">
        <f t="shared" si="11"/>
        <v>-0.009999999999999995</v>
      </c>
      <c r="E80" s="5"/>
      <c r="F80" s="5"/>
      <c r="G80" s="5">
        <f t="shared" si="12"/>
        <v>0</v>
      </c>
      <c r="H80" s="5"/>
      <c r="I80" s="5">
        <f t="shared" si="13"/>
        <v>-0.09</v>
      </c>
      <c r="J80" s="5">
        <f t="shared" si="14"/>
        <v>0.08</v>
      </c>
      <c r="K80" s="5">
        <f t="shared" si="15"/>
        <v>-0.01</v>
      </c>
      <c r="L80" s="5"/>
      <c r="M80" s="5">
        <v>-0.09</v>
      </c>
      <c r="N80" s="5">
        <v>0.08</v>
      </c>
      <c r="O80" s="5">
        <v>-0.02</v>
      </c>
      <c r="P80" s="5"/>
      <c r="Q80" s="5">
        <v>-0.09</v>
      </c>
      <c r="R80" s="5">
        <v>0.08</v>
      </c>
      <c r="S80" s="5">
        <v>0</v>
      </c>
    </row>
    <row r="81" spans="1:19" ht="12.75">
      <c r="A81" s="16">
        <f t="shared" si="8"/>
        <v>65</v>
      </c>
      <c r="B81" s="1" t="s">
        <v>45</v>
      </c>
      <c r="C81" s="5">
        <f t="shared" si="10"/>
        <v>1821735.19</v>
      </c>
      <c r="D81" s="5">
        <f t="shared" si="11"/>
        <v>2259718.05</v>
      </c>
      <c r="E81" s="5"/>
      <c r="F81" s="5"/>
      <c r="G81" s="5">
        <f t="shared" si="12"/>
        <v>2040727</v>
      </c>
      <c r="H81" s="5"/>
      <c r="I81" s="5">
        <f t="shared" si="13"/>
        <v>788338.6950000001</v>
      </c>
      <c r="J81" s="5">
        <f t="shared" si="14"/>
        <v>119838.91</v>
      </c>
      <c r="K81" s="5">
        <f t="shared" si="15"/>
        <v>1132549.0150000001</v>
      </c>
      <c r="L81" s="5"/>
      <c r="M81" s="5">
        <v>571842.22</v>
      </c>
      <c r="N81" s="5">
        <v>57488.39</v>
      </c>
      <c r="O81" s="5">
        <v>1192404.58</v>
      </c>
      <c r="P81" s="5"/>
      <c r="Q81" s="5">
        <v>1004835.17</v>
      </c>
      <c r="R81" s="5">
        <v>182189.43</v>
      </c>
      <c r="S81" s="5">
        <v>1072693.45</v>
      </c>
    </row>
    <row r="82" spans="1:19" ht="12.75">
      <c r="A82" s="16">
        <f aca="true" t="shared" si="16" ref="A82:A110">A81+1</f>
        <v>66</v>
      </c>
      <c r="B82" s="3" t="s">
        <v>412</v>
      </c>
      <c r="C82" s="5">
        <v>67940</v>
      </c>
      <c r="D82" s="5">
        <v>34017.94</v>
      </c>
      <c r="E82" s="5">
        <f aca="true" t="shared" si="17" ref="E82:F86">-C82</f>
        <v>-67940</v>
      </c>
      <c r="F82" s="5">
        <f t="shared" si="17"/>
        <v>-34017.94</v>
      </c>
      <c r="G82" s="5">
        <f t="shared" si="12"/>
        <v>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.75">
      <c r="A83" s="16">
        <f t="shared" si="16"/>
        <v>67</v>
      </c>
      <c r="B83" s="1" t="s">
        <v>46</v>
      </c>
      <c r="C83" s="5">
        <v>43464415</v>
      </c>
      <c r="D83" s="5">
        <v>43895112.39</v>
      </c>
      <c r="E83" s="5">
        <f t="shared" si="17"/>
        <v>-43464415</v>
      </c>
      <c r="F83" s="5">
        <f t="shared" si="17"/>
        <v>-43895112.39</v>
      </c>
      <c r="G83" s="5">
        <f t="shared" si="12"/>
        <v>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.75">
      <c r="A84" s="16">
        <f t="shared" si="16"/>
        <v>68</v>
      </c>
      <c r="B84" s="1" t="s">
        <v>47</v>
      </c>
      <c r="C84" s="5">
        <v>0</v>
      </c>
      <c r="D84" s="5">
        <v>0</v>
      </c>
      <c r="E84" s="5">
        <f t="shared" si="17"/>
        <v>0</v>
      </c>
      <c r="F84" s="5">
        <f t="shared" si="17"/>
        <v>0</v>
      </c>
      <c r="G84" s="5">
        <f t="shared" si="12"/>
        <v>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2.75">
      <c r="A85" s="16">
        <f t="shared" si="16"/>
        <v>69</v>
      </c>
      <c r="B85" s="1" t="s">
        <v>48</v>
      </c>
      <c r="C85" s="5">
        <v>31936</v>
      </c>
      <c r="D85" s="5">
        <v>28716.73</v>
      </c>
      <c r="E85" s="5">
        <f t="shared" si="17"/>
        <v>-31936</v>
      </c>
      <c r="F85" s="5">
        <f t="shared" si="17"/>
        <v>-28716.73</v>
      </c>
      <c r="G85" s="5">
        <f t="shared" si="12"/>
        <v>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.75">
      <c r="A86" s="16">
        <f t="shared" si="16"/>
        <v>70</v>
      </c>
      <c r="B86" s="3" t="s">
        <v>413</v>
      </c>
      <c r="C86" s="5">
        <v>0</v>
      </c>
      <c r="D86" s="5">
        <v>0</v>
      </c>
      <c r="E86" s="5">
        <f t="shared" si="17"/>
        <v>0</v>
      </c>
      <c r="F86" s="5">
        <f t="shared" si="17"/>
        <v>0</v>
      </c>
      <c r="G86" s="5">
        <f t="shared" si="12"/>
        <v>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.75">
      <c r="A87" s="16">
        <f t="shared" si="16"/>
        <v>71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3.5" thickBot="1">
      <c r="A88" s="16">
        <f t="shared" si="16"/>
        <v>72</v>
      </c>
      <c r="B88" s="1"/>
      <c r="C88" s="17">
        <f>SUM(C61:C87)</f>
        <v>62392820.70999999</v>
      </c>
      <c r="D88" s="17">
        <f>SUM(D61:D87)</f>
        <v>62308097.13</v>
      </c>
      <c r="E88" s="17">
        <f>SUM(E61:E87)</f>
        <v>-43564291</v>
      </c>
      <c r="F88" s="17">
        <f>SUM(F61:F87)</f>
        <v>-43957847.059999995</v>
      </c>
      <c r="G88" s="17">
        <f>SUM(G61:G87)</f>
        <v>18589390</v>
      </c>
      <c r="H88" s="17"/>
      <c r="I88" s="17">
        <f>SUM(I61:I87)</f>
        <v>11200159.3</v>
      </c>
      <c r="J88" s="17">
        <f>SUM(J61:J87)</f>
        <v>1286474.6449999998</v>
      </c>
      <c r="K88" s="17">
        <f>SUM(K61:K87)</f>
        <v>6102755.945</v>
      </c>
      <c r="L88" s="17"/>
      <c r="M88" s="17">
        <f>SUM(M61:M87)</f>
        <v>10980615.14</v>
      </c>
      <c r="N88" s="17">
        <f>SUM(N61:N87)</f>
        <v>1331591.7899999998</v>
      </c>
      <c r="O88" s="17">
        <f>SUM(O61:O87)</f>
        <v>6516322.78</v>
      </c>
      <c r="P88" s="5"/>
      <c r="Q88" s="17">
        <f>SUM(Q61:Q87)</f>
        <v>11419703.46</v>
      </c>
      <c r="R88" s="17">
        <f>SUM(R61:R87)</f>
        <v>1241357.5</v>
      </c>
      <c r="S88" s="17">
        <f>SUM(S61:S87)</f>
        <v>5689189.109999999</v>
      </c>
    </row>
    <row r="89" spans="1:19" ht="13.5" thickTop="1">
      <c r="A89" s="16">
        <f t="shared" si="16"/>
        <v>73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5"/>
      <c r="Q89" s="18"/>
      <c r="R89" s="18"/>
      <c r="S89" s="18"/>
    </row>
    <row r="90" spans="1:19" ht="12.75">
      <c r="A90" s="16">
        <f t="shared" si="16"/>
        <v>74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2.75">
      <c r="A91" s="16">
        <f t="shared" si="16"/>
        <v>75</v>
      </c>
      <c r="C91" s="5"/>
      <c r="D91" s="5"/>
      <c r="E91" s="5"/>
      <c r="F91" s="5"/>
      <c r="G91" s="5"/>
      <c r="H91" s="5"/>
      <c r="I91" s="5"/>
      <c r="J91" s="5"/>
      <c r="K91" s="5"/>
      <c r="L91" s="5"/>
      <c r="P91" s="5"/>
      <c r="Q91" s="5"/>
      <c r="R91" s="5"/>
      <c r="S91" s="5"/>
    </row>
    <row r="92" spans="1:19" ht="12.75">
      <c r="A92" s="16">
        <f t="shared" si="16"/>
        <v>76</v>
      </c>
      <c r="B92" s="3" t="s">
        <v>105</v>
      </c>
      <c r="C92" s="5">
        <f>SUM(M92:O92)</f>
        <v>0</v>
      </c>
      <c r="D92" s="5">
        <f>SUM(Q92:S92)</f>
        <v>0</v>
      </c>
      <c r="E92" s="5"/>
      <c r="F92" s="5"/>
      <c r="G92" s="5">
        <f>ROUND(SUM(C92:F92)/2,0)</f>
        <v>0</v>
      </c>
      <c r="H92" s="5"/>
      <c r="I92" s="5">
        <f>(+M92+Q92)/2</f>
        <v>0</v>
      </c>
      <c r="J92" s="5">
        <f>(+N92+R92)/2</f>
        <v>0</v>
      </c>
      <c r="K92" s="5">
        <f>(+O92+S92)/2</f>
        <v>0</v>
      </c>
      <c r="L92" s="5"/>
      <c r="M92" s="5">
        <v>0</v>
      </c>
      <c r="N92" s="5">
        <v>0</v>
      </c>
      <c r="O92" s="5">
        <v>0</v>
      </c>
      <c r="P92" s="5"/>
      <c r="Q92" s="5">
        <v>0</v>
      </c>
      <c r="R92" s="5">
        <v>0</v>
      </c>
      <c r="S92" s="5">
        <v>0</v>
      </c>
    </row>
    <row r="93" spans="1:19" ht="12.75">
      <c r="A93" s="16">
        <f t="shared" si="16"/>
        <v>77</v>
      </c>
      <c r="B93" s="3" t="s">
        <v>414</v>
      </c>
      <c r="C93" s="5">
        <v>41595141.07</v>
      </c>
      <c r="D93" s="5">
        <v>42232048.27</v>
      </c>
      <c r="E93" s="5">
        <f>-C93</f>
        <v>-41595141.07</v>
      </c>
      <c r="F93" s="5">
        <f>-D93</f>
        <v>-42232048.27</v>
      </c>
      <c r="G93" s="5">
        <f>ROUND(SUM(C93:F93)/2,0)</f>
        <v>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2.75">
      <c r="A94" s="16">
        <f t="shared" si="16"/>
        <v>78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5"/>
      <c r="N94" s="55"/>
      <c r="O94" s="5"/>
      <c r="P94" s="5"/>
      <c r="Q94" s="55"/>
      <c r="R94" s="55"/>
      <c r="S94" s="5"/>
    </row>
    <row r="95" spans="1:19" ht="13.5" thickBot="1">
      <c r="A95" s="16">
        <f t="shared" si="16"/>
        <v>79</v>
      </c>
      <c r="B95" s="1" t="s">
        <v>49</v>
      </c>
      <c r="C95" s="17">
        <f>SUM(C88:C94)</f>
        <v>103987961.78</v>
      </c>
      <c r="D95" s="17">
        <f>SUM(D88:D94)</f>
        <v>104540145.4</v>
      </c>
      <c r="E95" s="17">
        <f>SUM(E88:E94)</f>
        <v>-85159432.07</v>
      </c>
      <c r="F95" s="17">
        <f>SUM(F88:F94)</f>
        <v>-86189895.33</v>
      </c>
      <c r="G95" s="17">
        <f>SUM(G88:G94)</f>
        <v>18589390</v>
      </c>
      <c r="H95" s="17"/>
      <c r="I95" s="17">
        <f>SUM(I88:I94)</f>
        <v>11200159.3</v>
      </c>
      <c r="J95" s="17">
        <f>SUM(J88:J94)</f>
        <v>1286474.6449999998</v>
      </c>
      <c r="K95" s="17">
        <f>SUM(K88:K94)</f>
        <v>6102755.945</v>
      </c>
      <c r="L95" s="5"/>
      <c r="M95" s="56">
        <f>SUM(M88:M94)</f>
        <v>10980615.14</v>
      </c>
      <c r="N95" s="56">
        <f>SUM(N88:N94)</f>
        <v>1331591.7899999998</v>
      </c>
      <c r="O95" s="57">
        <f>SUM(O88:O94)</f>
        <v>6516322.78</v>
      </c>
      <c r="P95" s="5"/>
      <c r="Q95" s="56">
        <f>SUM(Q88:Q94)</f>
        <v>11419703.46</v>
      </c>
      <c r="R95" s="56">
        <f>SUM(R88:R94)</f>
        <v>1241357.5</v>
      </c>
      <c r="S95" s="57">
        <f>SUM(S88:S94)</f>
        <v>5689189.109999999</v>
      </c>
    </row>
    <row r="96" spans="1:19" ht="13.5" thickTop="1">
      <c r="A96" s="16">
        <f t="shared" si="16"/>
        <v>80</v>
      </c>
      <c r="C96" s="18"/>
      <c r="D96" s="18"/>
      <c r="E96" s="18"/>
      <c r="F96" s="18"/>
      <c r="G96" s="18"/>
      <c r="H96" s="18"/>
      <c r="I96" s="18"/>
      <c r="J96" s="18"/>
      <c r="K96" s="18"/>
      <c r="L96" s="5"/>
      <c r="P96" s="5"/>
      <c r="Q96" s="5"/>
      <c r="R96" s="5"/>
      <c r="S96" s="5"/>
    </row>
    <row r="97" spans="1:19" ht="12.75">
      <c r="A97" s="16">
        <f t="shared" si="16"/>
        <v>81</v>
      </c>
      <c r="C97" s="5"/>
      <c r="D97" s="5"/>
      <c r="E97" s="5"/>
      <c r="F97" s="5"/>
      <c r="G97" s="5"/>
      <c r="H97" s="5"/>
      <c r="I97" s="5"/>
      <c r="J97" s="5"/>
      <c r="K97" s="5"/>
      <c r="L97" s="5"/>
      <c r="P97" s="5"/>
      <c r="Q97" s="5"/>
      <c r="R97" s="5"/>
      <c r="S97" s="5"/>
    </row>
    <row r="98" spans="1:19" ht="12.75">
      <c r="A98" s="16">
        <f t="shared" si="16"/>
        <v>82</v>
      </c>
      <c r="B98" s="1" t="s">
        <v>51</v>
      </c>
      <c r="C98" s="5"/>
      <c r="D98" s="5"/>
      <c r="E98" s="5"/>
      <c r="F98" s="5"/>
      <c r="G98" s="5"/>
      <c r="H98" s="5"/>
      <c r="I98" s="5"/>
      <c r="J98" s="5"/>
      <c r="K98" s="5"/>
      <c r="L98" s="5"/>
      <c r="P98" s="5"/>
      <c r="Q98" s="5"/>
      <c r="R98" s="5"/>
      <c r="S98" s="5"/>
    </row>
    <row r="99" spans="1:19" ht="12.75">
      <c r="A99" s="16">
        <f t="shared" si="16"/>
        <v>83</v>
      </c>
      <c r="C99" s="5"/>
      <c r="D99" s="5"/>
      <c r="E99" s="5"/>
      <c r="F99" s="5"/>
      <c r="G99" s="5"/>
      <c r="H99" s="5"/>
      <c r="I99" s="5"/>
      <c r="J99" s="5"/>
      <c r="K99" s="5"/>
      <c r="L99" s="5"/>
      <c r="P99" s="5"/>
      <c r="Q99" s="5"/>
      <c r="R99" s="5"/>
      <c r="S99" s="5"/>
    </row>
    <row r="100" spans="1:19" ht="12.75">
      <c r="A100" s="16">
        <f t="shared" si="16"/>
        <v>84</v>
      </c>
      <c r="B100" s="1" t="s">
        <v>52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2.75">
      <c r="A101" s="16">
        <f t="shared" si="16"/>
        <v>85</v>
      </c>
      <c r="C101" s="5"/>
      <c r="D101" s="19"/>
      <c r="E101" s="19"/>
      <c r="F101" s="19"/>
      <c r="G101" s="19"/>
      <c r="H101" s="19"/>
      <c r="I101" s="19"/>
      <c r="J101" s="19"/>
      <c r="K101" s="19"/>
      <c r="L101" s="19"/>
      <c r="M101" s="5"/>
      <c r="N101" s="5"/>
      <c r="O101" s="5"/>
      <c r="P101" s="5"/>
      <c r="Q101" s="5"/>
      <c r="R101" s="5"/>
      <c r="S101" s="5"/>
    </row>
    <row r="102" spans="1:19" ht="12.75">
      <c r="A102" s="16">
        <f t="shared" si="16"/>
        <v>86</v>
      </c>
      <c r="B102" s="1" t="s">
        <v>53</v>
      </c>
      <c r="C102" s="5"/>
      <c r="D102" s="19"/>
      <c r="E102" s="19"/>
      <c r="F102" s="19"/>
      <c r="G102" s="19"/>
      <c r="H102" s="19"/>
      <c r="I102" s="19"/>
      <c r="J102" s="19"/>
      <c r="K102" s="19"/>
      <c r="L102" s="19"/>
      <c r="M102" s="5"/>
      <c r="N102" s="5"/>
      <c r="O102" s="5"/>
      <c r="P102" s="5"/>
      <c r="Q102" s="5"/>
      <c r="R102" s="5"/>
      <c r="S102" s="5"/>
    </row>
    <row r="103" spans="1:19" ht="12.75">
      <c r="A103" s="16">
        <f t="shared" si="16"/>
        <v>87</v>
      </c>
      <c r="B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2.75">
      <c r="A104" s="16">
        <f t="shared" si="16"/>
        <v>88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2.75">
      <c r="A105" s="16">
        <f t="shared" si="16"/>
        <v>89</v>
      </c>
      <c r="B105" s="3" t="s">
        <v>54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2.75">
      <c r="A106" s="16">
        <f t="shared" si="16"/>
        <v>90</v>
      </c>
      <c r="B106" s="3" t="s">
        <v>55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2.75">
      <c r="A107" s="16">
        <f t="shared" si="16"/>
        <v>91</v>
      </c>
      <c r="B107" s="1" t="s">
        <v>319</v>
      </c>
      <c r="C107" s="5"/>
      <c r="D107" s="5"/>
      <c r="E107" s="5"/>
      <c r="F107" s="5"/>
      <c r="G107" s="5">
        <f>ROUND(SUM(C107:F107)/2,0)</f>
        <v>0</v>
      </c>
      <c r="H107" s="5"/>
      <c r="I107" s="5">
        <f>(+M107+Q107)/2</f>
        <v>0</v>
      </c>
      <c r="J107" s="5">
        <f>(+N107+R107)/2</f>
        <v>0</v>
      </c>
      <c r="K107" s="5">
        <f>(+O107+S107)/2</f>
        <v>0</v>
      </c>
      <c r="L107" s="5"/>
      <c r="M107" s="5">
        <v>0</v>
      </c>
      <c r="N107" s="5">
        <v>0</v>
      </c>
      <c r="O107" s="5">
        <v>0</v>
      </c>
      <c r="P107" s="5"/>
      <c r="Q107" s="5">
        <v>0</v>
      </c>
      <c r="R107" s="5">
        <v>0</v>
      </c>
      <c r="S107" s="5">
        <v>0</v>
      </c>
    </row>
    <row r="108" spans="1:19" ht="12.75">
      <c r="A108" s="16">
        <f t="shared" si="16"/>
        <v>92</v>
      </c>
      <c r="B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2.75">
      <c r="A109" s="16">
        <f t="shared" si="16"/>
        <v>93</v>
      </c>
      <c r="B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3.5" thickBot="1">
      <c r="A110" s="16">
        <f t="shared" si="16"/>
        <v>94</v>
      </c>
      <c r="B110" s="3" t="s">
        <v>56</v>
      </c>
      <c r="C110" s="17">
        <f>SUM(C107:C109)</f>
        <v>0</v>
      </c>
      <c r="D110" s="17">
        <f>SUM(D107:D109)</f>
        <v>0</v>
      </c>
      <c r="E110" s="17">
        <f>SUM(E107:E109)</f>
        <v>0</v>
      </c>
      <c r="F110" s="17">
        <f>SUM(F107:F109)</f>
        <v>0</v>
      </c>
      <c r="G110" s="17">
        <f>SUM(G107:G109)</f>
        <v>0</v>
      </c>
      <c r="H110" s="17"/>
      <c r="I110" s="17">
        <f>SUM(I107:I109)</f>
        <v>0</v>
      </c>
      <c r="J110" s="17">
        <f>SUM(J107:J109)</f>
        <v>0</v>
      </c>
      <c r="K110" s="17">
        <f>SUM(K107:K109)</f>
        <v>0</v>
      </c>
      <c r="L110" s="17"/>
      <c r="M110" s="17">
        <f>SUM(M107:M109)</f>
        <v>0</v>
      </c>
      <c r="N110" s="17">
        <f>SUM(N107:N109)</f>
        <v>0</v>
      </c>
      <c r="O110" s="17">
        <f>SUM(O107:O109)</f>
        <v>0</v>
      </c>
      <c r="P110" s="5"/>
      <c r="Q110" s="17">
        <f>SUM(Q107:Q109)</f>
        <v>0</v>
      </c>
      <c r="R110" s="17">
        <f>SUM(R107:R109)</f>
        <v>0</v>
      </c>
      <c r="S110" s="17">
        <f>SUM(S107:S109)</f>
        <v>0</v>
      </c>
    </row>
    <row r="111" spans="1:19" ht="13.5" thickTop="1">
      <c r="A111" s="16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5"/>
      <c r="Q111" s="18"/>
      <c r="R111" s="18"/>
      <c r="S111" s="18"/>
    </row>
    <row r="112" spans="1:19" ht="12.75">
      <c r="A112" s="1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</sheetData>
  <sheetProtection/>
  <printOptions/>
  <pageMargins left="0.75" right="0" top="0.75" bottom="0.5" header="0" footer="0"/>
  <pageSetup horizontalDpi="600" verticalDpi="600" orientation="landscape" scale="59" r:id="rId1"/>
  <headerFooter alignWithMargins="0">
    <oddHeader>&amp;RSTATEMENT AF
PAGE &amp;P OF &amp;N</oddHeader>
  </headerFooter>
  <rowBreaks count="1" manualBreakCount="1">
    <brk id="57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78"/>
  <sheetViews>
    <sheetView showOutlineSymbols="0" zoomScale="75" zoomScaleNormal="75" zoomScaleSheetLayoutView="75" workbookViewId="0" topLeftCell="A1">
      <selection activeCell="A1" sqref="A1"/>
    </sheetView>
  </sheetViews>
  <sheetFormatPr defaultColWidth="12.7109375" defaultRowHeight="12.75"/>
  <cols>
    <col min="1" max="1" width="5.8515625" style="7" customWidth="1"/>
    <col min="2" max="2" width="55.140625" style="2" bestFit="1" customWidth="1"/>
    <col min="3" max="7" width="15.7109375" style="2" customWidth="1"/>
    <col min="8" max="8" width="3.140625" style="2" customWidth="1"/>
    <col min="9" max="11" width="15.7109375" style="2" customWidth="1"/>
    <col min="12" max="12" width="3.00390625" style="2" customWidth="1"/>
    <col min="13" max="15" width="15.7109375" style="2" customWidth="1"/>
    <col min="16" max="16" width="2.8515625" style="2" customWidth="1"/>
    <col min="17" max="19" width="15.7109375" style="2" customWidth="1"/>
    <col min="20" max="20" width="17.7109375" style="2" bestFit="1" customWidth="1"/>
    <col min="21" max="16384" width="12.7109375" style="2" customWidth="1"/>
  </cols>
  <sheetData>
    <row r="1" spans="2:20" ht="12.75">
      <c r="B1" s="20" t="s">
        <v>391</v>
      </c>
      <c r="G1" s="3"/>
      <c r="H1" s="3"/>
      <c r="I1" s="3"/>
      <c r="J1" s="3"/>
      <c r="K1" s="3"/>
      <c r="L1" s="3"/>
      <c r="T1" s="33"/>
    </row>
    <row r="2" spans="2:20" ht="12.75">
      <c r="B2" s="20" t="s">
        <v>140</v>
      </c>
      <c r="G2" s="1"/>
      <c r="H2" s="1"/>
      <c r="I2" s="1"/>
      <c r="J2" s="1"/>
      <c r="K2" s="1"/>
      <c r="L2" s="1"/>
      <c r="T2" s="1"/>
    </row>
    <row r="3" ht="12.75">
      <c r="B3" s="20" t="s">
        <v>127</v>
      </c>
    </row>
    <row r="4" ht="12.75">
      <c r="B4" s="16"/>
    </row>
    <row r="5" ht="12.75">
      <c r="B5" s="9"/>
    </row>
    <row r="6" spans="7:12" ht="12.75">
      <c r="G6" s="8" t="s">
        <v>141</v>
      </c>
      <c r="H6" s="8"/>
      <c r="I6" s="8"/>
      <c r="J6" s="8"/>
      <c r="K6" s="8"/>
      <c r="L6" s="8"/>
    </row>
    <row r="8" spans="2:19" ht="12.7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60</v>
      </c>
      <c r="O8" s="4" t="s">
        <v>61</v>
      </c>
      <c r="Q8" s="4" t="s">
        <v>62</v>
      </c>
      <c r="R8" s="4" t="s">
        <v>63</v>
      </c>
      <c r="S8" s="4" t="s">
        <v>64</v>
      </c>
    </row>
    <row r="10" spans="3:19" ht="12.7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66</v>
      </c>
      <c r="J10" s="10"/>
      <c r="K10" s="10"/>
      <c r="L10" s="12"/>
      <c r="M10" s="13" t="s">
        <v>129</v>
      </c>
      <c r="N10" s="10"/>
      <c r="O10" s="10"/>
      <c r="Q10" s="13" t="s">
        <v>123</v>
      </c>
      <c r="R10" s="10"/>
      <c r="S10" s="10"/>
    </row>
    <row r="11" spans="3:19" ht="12.7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3:12" ht="12.7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2:19" ht="12.75">
      <c r="B13" s="4" t="s">
        <v>18</v>
      </c>
      <c r="C13" s="4" t="s">
        <v>128</v>
      </c>
      <c r="D13" s="4" t="s">
        <v>122</v>
      </c>
      <c r="E13" s="4" t="s">
        <v>128</v>
      </c>
      <c r="F13" s="4" t="s">
        <v>122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5" spans="1:20" ht="12.75">
      <c r="A15" s="36"/>
      <c r="B15" s="6" t="s">
        <v>142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>
      <c r="A16" s="3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>
      <c r="A17" s="37">
        <v>1</v>
      </c>
      <c r="B17" s="5" t="s">
        <v>320</v>
      </c>
      <c r="C17" s="5">
        <f aca="true" t="shared" si="0" ref="C17:C64">SUM(M17:O17)</f>
        <v>1061688.73</v>
      </c>
      <c r="D17" s="5">
        <f aca="true" t="shared" si="1" ref="D17:D64">SUM(Q17:S17)</f>
        <v>0</v>
      </c>
      <c r="E17" s="5"/>
      <c r="F17" s="5"/>
      <c r="G17" s="5">
        <f aca="true" t="shared" si="2" ref="G17:G64">ROUND(SUM(C17:F17)/2,0)</f>
        <v>530844</v>
      </c>
      <c r="H17" s="5"/>
      <c r="I17" s="5">
        <f aca="true" t="shared" si="3" ref="I17:I64">(+M17+Q17)/2</f>
        <v>310292.22</v>
      </c>
      <c r="J17" s="5">
        <f aca="true" t="shared" si="4" ref="J17:J64">(+N17+R17)/2</f>
        <v>67049.84</v>
      </c>
      <c r="K17" s="5">
        <f aca="true" t="shared" si="5" ref="K17:K64">(+O17+S17)/2</f>
        <v>153502.305</v>
      </c>
      <c r="L17" s="5"/>
      <c r="M17" s="5">
        <v>620584.44</v>
      </c>
      <c r="N17" s="5">
        <v>134099.68</v>
      </c>
      <c r="O17" s="5">
        <v>307004.61</v>
      </c>
      <c r="P17" s="5"/>
      <c r="Q17" s="5">
        <v>0</v>
      </c>
      <c r="R17" s="5">
        <v>0</v>
      </c>
      <c r="S17" s="5">
        <v>0</v>
      </c>
      <c r="T17" s="5"/>
    </row>
    <row r="18" spans="1:20" ht="12.75">
      <c r="A18" s="37">
        <f aca="true" t="shared" si="6" ref="A18:A49">A17+1</f>
        <v>2</v>
      </c>
      <c r="B18" s="5" t="s">
        <v>144</v>
      </c>
      <c r="C18" s="5">
        <f t="shared" si="0"/>
        <v>6075432.489999999</v>
      </c>
      <c r="D18" s="5">
        <f t="shared" si="1"/>
        <v>5831330.659999999</v>
      </c>
      <c r="E18" s="5"/>
      <c r="F18" s="5"/>
      <c r="G18" s="5">
        <f t="shared" si="2"/>
        <v>5953382</v>
      </c>
      <c r="H18" s="5"/>
      <c r="I18" s="5">
        <f t="shared" si="3"/>
        <v>3053347.885</v>
      </c>
      <c r="J18" s="5">
        <f t="shared" si="4"/>
        <v>1583805.2399999998</v>
      </c>
      <c r="K18" s="5">
        <f t="shared" si="5"/>
        <v>1316228.4500000002</v>
      </c>
      <c r="L18" s="5"/>
      <c r="M18" s="5">
        <f>4291155.96-1275836.25</f>
        <v>3015319.71</v>
      </c>
      <c r="N18" s="5">
        <f>2445753.01-752126.1</f>
        <v>1693626.9099999997</v>
      </c>
      <c r="O18" s="5">
        <f>2207716.46-841230.59</f>
        <v>1366485.87</v>
      </c>
      <c r="P18" s="5"/>
      <c r="Q18" s="5">
        <f>4227081.06-1135705</f>
        <v>3091376.0599999996</v>
      </c>
      <c r="R18" s="5">
        <f>2149729.57-675746</f>
        <v>1473983.5699999998</v>
      </c>
      <c r="S18" s="5">
        <f>2036637.03-770666</f>
        <v>1265971.03</v>
      </c>
      <c r="T18" s="5"/>
    </row>
    <row r="19" spans="1:20" ht="12.75">
      <c r="A19" s="37">
        <f t="shared" si="6"/>
        <v>3</v>
      </c>
      <c r="B19" s="5" t="s">
        <v>324</v>
      </c>
      <c r="C19" s="5">
        <f t="shared" si="0"/>
        <v>2627149.0100000002</v>
      </c>
      <c r="D19" s="5">
        <f t="shared" si="1"/>
        <v>2825046.43</v>
      </c>
      <c r="E19" s="5"/>
      <c r="F19" s="5"/>
      <c r="G19" s="5">
        <f t="shared" si="2"/>
        <v>2726098</v>
      </c>
      <c r="H19" s="5"/>
      <c r="I19" s="5">
        <f t="shared" si="3"/>
        <v>220575.25</v>
      </c>
      <c r="J19" s="5">
        <f t="shared" si="4"/>
        <v>214650.275</v>
      </c>
      <c r="K19" s="5">
        <f t="shared" si="5"/>
        <v>2290872.1950000003</v>
      </c>
      <c r="L19" s="5"/>
      <c r="M19" s="5">
        <v>211326.5</v>
      </c>
      <c r="N19" s="5">
        <v>271344.85</v>
      </c>
      <c r="O19" s="5">
        <v>2144477.66</v>
      </c>
      <c r="P19" s="5"/>
      <c r="Q19" s="5">
        <v>229824</v>
      </c>
      <c r="R19" s="5">
        <v>157955.7</v>
      </c>
      <c r="S19" s="5">
        <v>2437266.73</v>
      </c>
      <c r="T19" s="5"/>
    </row>
    <row r="20" spans="1:20" ht="12.75">
      <c r="A20" s="37">
        <f t="shared" si="6"/>
        <v>4</v>
      </c>
      <c r="B20" s="5" t="s">
        <v>325</v>
      </c>
      <c r="C20" s="5">
        <f t="shared" si="0"/>
        <v>-24329.34</v>
      </c>
      <c r="D20" s="5">
        <f t="shared" si="1"/>
        <v>-37481.06</v>
      </c>
      <c r="E20" s="5"/>
      <c r="F20" s="5"/>
      <c r="G20" s="5">
        <f t="shared" si="2"/>
        <v>-30905</v>
      </c>
      <c r="H20" s="5"/>
      <c r="I20" s="5">
        <f t="shared" si="3"/>
        <v>0</v>
      </c>
      <c r="J20" s="5">
        <f t="shared" si="4"/>
        <v>0</v>
      </c>
      <c r="K20" s="5">
        <f t="shared" si="5"/>
        <v>-30905.199999999997</v>
      </c>
      <c r="L20" s="5"/>
      <c r="M20" s="5">
        <v>0</v>
      </c>
      <c r="N20" s="5">
        <v>0</v>
      </c>
      <c r="O20" s="5">
        <v>-24329.34</v>
      </c>
      <c r="P20" s="5"/>
      <c r="Q20" s="5">
        <v>0</v>
      </c>
      <c r="R20" s="5">
        <v>0</v>
      </c>
      <c r="S20" s="5">
        <v>-37481.06</v>
      </c>
      <c r="T20" s="5"/>
    </row>
    <row r="21" spans="1:20" ht="12.75">
      <c r="A21" s="37">
        <f t="shared" si="6"/>
        <v>5</v>
      </c>
      <c r="B21" s="34" t="s">
        <v>415</v>
      </c>
      <c r="C21" s="5">
        <f t="shared" si="0"/>
        <v>1383050.99</v>
      </c>
      <c r="D21" s="5">
        <f t="shared" si="1"/>
        <v>-172223.36</v>
      </c>
      <c r="E21" s="5"/>
      <c r="F21" s="5"/>
      <c r="G21" s="5">
        <f t="shared" si="2"/>
        <v>605414</v>
      </c>
      <c r="H21" s="5"/>
      <c r="I21" s="5">
        <f t="shared" si="3"/>
        <v>605413.815</v>
      </c>
      <c r="J21" s="5">
        <f t="shared" si="4"/>
        <v>0</v>
      </c>
      <c r="K21" s="5">
        <f t="shared" si="5"/>
        <v>0</v>
      </c>
      <c r="L21" s="5"/>
      <c r="M21" s="5">
        <v>1383050.99</v>
      </c>
      <c r="N21" s="5">
        <v>0</v>
      </c>
      <c r="O21" s="5">
        <v>0</v>
      </c>
      <c r="P21" s="5"/>
      <c r="Q21" s="5">
        <v>-172223.36</v>
      </c>
      <c r="R21" s="5">
        <v>0</v>
      </c>
      <c r="S21" s="5">
        <v>0</v>
      </c>
      <c r="T21" s="5"/>
    </row>
    <row r="22" spans="1:20" ht="12.75">
      <c r="A22" s="37">
        <f t="shared" si="6"/>
        <v>6</v>
      </c>
      <c r="B22" s="34" t="s">
        <v>416</v>
      </c>
      <c r="C22" s="5">
        <f t="shared" si="0"/>
        <v>456976.55</v>
      </c>
      <c r="D22" s="5">
        <f t="shared" si="1"/>
        <v>299852.1</v>
      </c>
      <c r="E22" s="5"/>
      <c r="F22" s="5"/>
      <c r="G22" s="5">
        <f t="shared" si="2"/>
        <v>378414</v>
      </c>
      <c r="H22" s="5"/>
      <c r="I22" s="5">
        <f t="shared" si="3"/>
        <v>378414.32499999995</v>
      </c>
      <c r="J22" s="5">
        <f t="shared" si="4"/>
        <v>0</v>
      </c>
      <c r="K22" s="5">
        <f t="shared" si="5"/>
        <v>0</v>
      </c>
      <c r="L22" s="5"/>
      <c r="M22" s="5">
        <v>456976.55</v>
      </c>
      <c r="N22" s="5">
        <v>0</v>
      </c>
      <c r="O22" s="5">
        <v>0</v>
      </c>
      <c r="P22" s="5"/>
      <c r="Q22" s="5">
        <v>299852.1</v>
      </c>
      <c r="R22" s="5">
        <v>0</v>
      </c>
      <c r="S22" s="5">
        <v>0</v>
      </c>
      <c r="T22" s="5"/>
    </row>
    <row r="23" spans="1:20" ht="12.75">
      <c r="A23" s="37">
        <f t="shared" si="6"/>
        <v>7</v>
      </c>
      <c r="B23" s="34" t="s">
        <v>417</v>
      </c>
      <c r="C23" s="5">
        <f t="shared" si="0"/>
        <v>2335121.55</v>
      </c>
      <c r="D23" s="5">
        <f t="shared" si="1"/>
        <v>2391600.7</v>
      </c>
      <c r="E23" s="5"/>
      <c r="F23" s="5"/>
      <c r="G23" s="5">
        <f t="shared" si="2"/>
        <v>2363361</v>
      </c>
      <c r="H23" s="5"/>
      <c r="I23" s="5">
        <f t="shared" si="3"/>
        <v>2363361.125</v>
      </c>
      <c r="J23" s="5">
        <f t="shared" si="4"/>
        <v>0</v>
      </c>
      <c r="K23" s="5">
        <f t="shared" si="5"/>
        <v>0</v>
      </c>
      <c r="L23" s="5"/>
      <c r="M23" s="5">
        <v>2335121.55</v>
      </c>
      <c r="N23" s="5">
        <v>0</v>
      </c>
      <c r="O23" s="5">
        <v>0</v>
      </c>
      <c r="P23" s="5"/>
      <c r="Q23" s="5">
        <v>2391600.7</v>
      </c>
      <c r="R23" s="5">
        <v>0</v>
      </c>
      <c r="S23" s="5">
        <v>0</v>
      </c>
      <c r="T23" s="5"/>
    </row>
    <row r="24" spans="1:20" ht="12.75">
      <c r="A24" s="37">
        <f t="shared" si="6"/>
        <v>8</v>
      </c>
      <c r="B24" s="6" t="s">
        <v>418</v>
      </c>
      <c r="C24" s="5">
        <f t="shared" si="0"/>
        <v>424006.79999999993</v>
      </c>
      <c r="D24" s="5">
        <f t="shared" si="1"/>
        <v>495567.99000000005</v>
      </c>
      <c r="E24" s="5"/>
      <c r="F24" s="5"/>
      <c r="G24" s="5">
        <f t="shared" si="2"/>
        <v>459787</v>
      </c>
      <c r="H24" s="5"/>
      <c r="I24" s="5">
        <f t="shared" si="3"/>
        <v>-198190.735</v>
      </c>
      <c r="J24" s="5">
        <f t="shared" si="4"/>
        <v>657978.13</v>
      </c>
      <c r="K24" s="5">
        <f t="shared" si="5"/>
        <v>0</v>
      </c>
      <c r="L24" s="5"/>
      <c r="M24" s="5">
        <v>-193641.53</v>
      </c>
      <c r="N24" s="5">
        <v>617648.33</v>
      </c>
      <c r="O24" s="5">
        <v>0</v>
      </c>
      <c r="P24" s="5"/>
      <c r="Q24" s="5">
        <v>-202739.94</v>
      </c>
      <c r="R24" s="5">
        <v>698307.93</v>
      </c>
      <c r="S24" s="5">
        <v>0</v>
      </c>
      <c r="T24" s="5"/>
    </row>
    <row r="25" spans="1:20" ht="12.75">
      <c r="A25" s="37">
        <f t="shared" si="6"/>
        <v>9</v>
      </c>
      <c r="B25" s="5" t="s">
        <v>419</v>
      </c>
      <c r="C25" s="5">
        <f t="shared" si="0"/>
        <v>0</v>
      </c>
      <c r="D25" s="5">
        <f t="shared" si="1"/>
        <v>0</v>
      </c>
      <c r="E25" s="5"/>
      <c r="F25" s="5"/>
      <c r="G25" s="5">
        <f t="shared" si="2"/>
        <v>0</v>
      </c>
      <c r="H25" s="5"/>
      <c r="I25" s="5">
        <f t="shared" si="3"/>
        <v>0</v>
      </c>
      <c r="J25" s="5">
        <f t="shared" si="4"/>
        <v>0</v>
      </c>
      <c r="K25" s="5">
        <f t="shared" si="5"/>
        <v>0</v>
      </c>
      <c r="L25" s="5"/>
      <c r="M25" s="5">
        <v>0</v>
      </c>
      <c r="N25" s="5">
        <v>0</v>
      </c>
      <c r="O25" s="5">
        <v>0</v>
      </c>
      <c r="P25" s="5"/>
      <c r="Q25" s="5">
        <v>0</v>
      </c>
      <c r="R25" s="5">
        <v>0</v>
      </c>
      <c r="S25" s="5">
        <v>0</v>
      </c>
      <c r="T25" s="5"/>
    </row>
    <row r="26" spans="1:20" ht="12.75">
      <c r="A26" s="37">
        <f t="shared" si="6"/>
        <v>10</v>
      </c>
      <c r="B26" s="6" t="s">
        <v>155</v>
      </c>
      <c r="C26" s="5">
        <f t="shared" si="0"/>
        <v>92966.3</v>
      </c>
      <c r="D26" s="5">
        <f t="shared" si="1"/>
        <v>-2448518.45</v>
      </c>
      <c r="E26" s="5"/>
      <c r="F26" s="5"/>
      <c r="G26" s="5">
        <f t="shared" si="2"/>
        <v>-1177776</v>
      </c>
      <c r="H26" s="5"/>
      <c r="I26" s="5">
        <f t="shared" si="3"/>
        <v>-1177776.0750000002</v>
      </c>
      <c r="J26" s="5">
        <f t="shared" si="4"/>
        <v>0</v>
      </c>
      <c r="K26" s="5">
        <f t="shared" si="5"/>
        <v>0</v>
      </c>
      <c r="L26" s="5"/>
      <c r="M26" s="5">
        <v>92966.3</v>
      </c>
      <c r="N26" s="5">
        <v>0</v>
      </c>
      <c r="O26" s="5">
        <v>0</v>
      </c>
      <c r="P26" s="5"/>
      <c r="Q26" s="5">
        <v>-2448518.45</v>
      </c>
      <c r="R26" s="5">
        <v>0</v>
      </c>
      <c r="S26" s="5">
        <v>0</v>
      </c>
      <c r="T26" s="5"/>
    </row>
    <row r="27" spans="1:20" ht="12.75">
      <c r="A27" s="37">
        <f t="shared" si="6"/>
        <v>11</v>
      </c>
      <c r="B27" s="6" t="s">
        <v>156</v>
      </c>
      <c r="C27" s="5">
        <f t="shared" si="0"/>
        <v>725916.73</v>
      </c>
      <c r="D27" s="5">
        <f t="shared" si="1"/>
        <v>745819.46</v>
      </c>
      <c r="E27" s="5"/>
      <c r="F27" s="5"/>
      <c r="G27" s="5">
        <f t="shared" si="2"/>
        <v>735868</v>
      </c>
      <c r="H27" s="5"/>
      <c r="I27" s="5">
        <f t="shared" si="3"/>
        <v>129497.23</v>
      </c>
      <c r="J27" s="5">
        <f t="shared" si="4"/>
        <v>46449.055</v>
      </c>
      <c r="K27" s="5">
        <f t="shared" si="5"/>
        <v>559921.81</v>
      </c>
      <c r="L27" s="5"/>
      <c r="M27" s="5">
        <v>66659.53</v>
      </c>
      <c r="N27" s="5">
        <v>39880.44</v>
      </c>
      <c r="O27" s="5">
        <v>619376.76</v>
      </c>
      <c r="P27" s="5"/>
      <c r="Q27" s="5">
        <v>192334.93</v>
      </c>
      <c r="R27" s="5">
        <v>53017.67</v>
      </c>
      <c r="S27" s="5">
        <v>500466.86</v>
      </c>
      <c r="T27" s="5"/>
    </row>
    <row r="28" spans="1:20" ht="12.75">
      <c r="A28" s="37">
        <f t="shared" si="6"/>
        <v>12</v>
      </c>
      <c r="B28" s="5" t="s">
        <v>57</v>
      </c>
      <c r="C28" s="5">
        <f t="shared" si="0"/>
        <v>-7471544.399999999</v>
      </c>
      <c r="D28" s="5">
        <f t="shared" si="1"/>
        <v>-5747921.68</v>
      </c>
      <c r="E28" s="5"/>
      <c r="F28" s="5"/>
      <c r="G28" s="5">
        <f t="shared" si="2"/>
        <v>-6609733</v>
      </c>
      <c r="H28" s="5"/>
      <c r="I28" s="5">
        <f t="shared" si="3"/>
        <v>-2035562.6749999998</v>
      </c>
      <c r="J28" s="5">
        <f t="shared" si="4"/>
        <v>-327715.63</v>
      </c>
      <c r="K28" s="5">
        <f t="shared" si="5"/>
        <v>-4246454.734999999</v>
      </c>
      <c r="L28" s="5"/>
      <c r="M28" s="5">
        <v>-2416865.88</v>
      </c>
      <c r="N28" s="5">
        <v>-282136.71</v>
      </c>
      <c r="O28" s="5">
        <v>-4772541.81</v>
      </c>
      <c r="P28" s="5"/>
      <c r="Q28" s="5">
        <v>-1654259.47</v>
      </c>
      <c r="R28" s="5">
        <v>-373294.55</v>
      </c>
      <c r="S28" s="5">
        <v>-3720367.66</v>
      </c>
      <c r="T28" s="5"/>
    </row>
    <row r="29" spans="1:20" ht="12.75">
      <c r="A29" s="37">
        <f t="shared" si="6"/>
        <v>13</v>
      </c>
      <c r="B29" s="6" t="s">
        <v>333</v>
      </c>
      <c r="C29" s="5">
        <f t="shared" si="0"/>
        <v>45677.35999999999</v>
      </c>
      <c r="D29" s="5">
        <f t="shared" si="1"/>
        <v>70338.02</v>
      </c>
      <c r="E29" s="5"/>
      <c r="F29" s="5"/>
      <c r="G29" s="5">
        <f t="shared" si="2"/>
        <v>58008</v>
      </c>
      <c r="H29" s="5"/>
      <c r="I29" s="5">
        <f t="shared" si="3"/>
        <v>64.395</v>
      </c>
      <c r="J29" s="5">
        <f t="shared" si="4"/>
        <v>0</v>
      </c>
      <c r="K29" s="5">
        <f t="shared" si="5"/>
        <v>57943.295</v>
      </c>
      <c r="L29" s="5"/>
      <c r="M29" s="5">
        <v>53.02</v>
      </c>
      <c r="N29" s="5">
        <v>0</v>
      </c>
      <c r="O29" s="5">
        <v>45624.34</v>
      </c>
      <c r="P29" s="5"/>
      <c r="Q29" s="5">
        <v>75.77</v>
      </c>
      <c r="R29" s="5">
        <v>0</v>
      </c>
      <c r="S29" s="5">
        <v>70262.25</v>
      </c>
      <c r="T29" s="5"/>
    </row>
    <row r="30" spans="1:20" ht="12.75">
      <c r="A30" s="37">
        <f t="shared" si="6"/>
        <v>14</v>
      </c>
      <c r="B30" s="6" t="s">
        <v>420</v>
      </c>
      <c r="C30" s="5">
        <f t="shared" si="0"/>
        <v>-45677.1</v>
      </c>
      <c r="D30" s="5">
        <f t="shared" si="1"/>
        <v>-45327.1</v>
      </c>
      <c r="E30" s="5"/>
      <c r="F30" s="5"/>
      <c r="G30" s="5">
        <f t="shared" si="2"/>
        <v>-45502</v>
      </c>
      <c r="H30" s="5"/>
      <c r="I30" s="5">
        <f t="shared" si="3"/>
        <v>-52.85</v>
      </c>
      <c r="J30" s="5">
        <f t="shared" si="4"/>
        <v>0</v>
      </c>
      <c r="K30" s="5">
        <f t="shared" si="5"/>
        <v>-45449.25</v>
      </c>
      <c r="L30" s="5"/>
      <c r="M30" s="5">
        <v>-52.85</v>
      </c>
      <c r="N30" s="5">
        <v>0</v>
      </c>
      <c r="O30" s="5">
        <v>-45624.25</v>
      </c>
      <c r="P30" s="5"/>
      <c r="Q30" s="5">
        <v>-52.85</v>
      </c>
      <c r="R30" s="5">
        <v>0</v>
      </c>
      <c r="S30" s="5">
        <v>-45274.25</v>
      </c>
      <c r="T30" s="5"/>
    </row>
    <row r="31" spans="1:20" ht="12.75">
      <c r="A31" s="37">
        <f t="shared" si="6"/>
        <v>15</v>
      </c>
      <c r="B31" s="5" t="s">
        <v>335</v>
      </c>
      <c r="C31" s="5">
        <f t="shared" si="0"/>
        <v>148715.37</v>
      </c>
      <c r="D31" s="5">
        <f t="shared" si="1"/>
        <v>246033.53</v>
      </c>
      <c r="E31" s="5"/>
      <c r="F31" s="5"/>
      <c r="G31" s="5">
        <f t="shared" si="2"/>
        <v>197374</v>
      </c>
      <c r="H31" s="5"/>
      <c r="I31" s="5">
        <f t="shared" si="3"/>
        <v>0</v>
      </c>
      <c r="J31" s="5">
        <f t="shared" si="4"/>
        <v>0</v>
      </c>
      <c r="K31" s="5">
        <f t="shared" si="5"/>
        <v>197374.45</v>
      </c>
      <c r="L31" s="5"/>
      <c r="M31" s="5">
        <v>0</v>
      </c>
      <c r="N31" s="5">
        <v>0</v>
      </c>
      <c r="O31" s="5">
        <v>148715.37</v>
      </c>
      <c r="P31" s="5"/>
      <c r="Q31" s="5">
        <v>0</v>
      </c>
      <c r="R31" s="5">
        <v>0</v>
      </c>
      <c r="S31" s="5">
        <v>246033.53</v>
      </c>
      <c r="T31" s="5"/>
    </row>
    <row r="32" spans="1:20" ht="12.75">
      <c r="A32" s="37">
        <f t="shared" si="6"/>
        <v>16</v>
      </c>
      <c r="B32" s="6" t="s">
        <v>161</v>
      </c>
      <c r="C32" s="5">
        <f t="shared" si="0"/>
        <v>281604.75</v>
      </c>
      <c r="D32" s="5">
        <f t="shared" si="1"/>
        <v>250597.79</v>
      </c>
      <c r="E32" s="5"/>
      <c r="F32" s="5"/>
      <c r="G32" s="5">
        <f t="shared" si="2"/>
        <v>266101</v>
      </c>
      <c r="H32" s="5"/>
      <c r="I32" s="5">
        <f t="shared" si="3"/>
        <v>3280.71</v>
      </c>
      <c r="J32" s="5">
        <f t="shared" si="4"/>
        <v>0</v>
      </c>
      <c r="K32" s="5">
        <f t="shared" si="5"/>
        <v>262820.56</v>
      </c>
      <c r="L32" s="5"/>
      <c r="M32" s="5">
        <v>3575.47</v>
      </c>
      <c r="N32" s="5">
        <v>0</v>
      </c>
      <c r="O32" s="5">
        <f>278029.43-0.18+0.03</f>
        <v>278029.28</v>
      </c>
      <c r="P32" s="5"/>
      <c r="Q32" s="5">
        <v>2985.95</v>
      </c>
      <c r="R32" s="5">
        <v>0</v>
      </c>
      <c r="S32" s="5">
        <v>247611.84</v>
      </c>
      <c r="T32" s="5"/>
    </row>
    <row r="33" spans="1:20" ht="12.75">
      <c r="A33" s="37">
        <f t="shared" si="6"/>
        <v>17</v>
      </c>
      <c r="B33" s="5" t="s">
        <v>162</v>
      </c>
      <c r="C33" s="5">
        <f t="shared" si="0"/>
        <v>217954.31999999998</v>
      </c>
      <c r="D33" s="5">
        <f t="shared" si="1"/>
        <v>22296.04</v>
      </c>
      <c r="E33" s="5"/>
      <c r="F33" s="5"/>
      <c r="G33" s="5">
        <f t="shared" si="2"/>
        <v>120125</v>
      </c>
      <c r="H33" s="5"/>
      <c r="I33" s="5">
        <f t="shared" si="3"/>
        <v>-98913.895</v>
      </c>
      <c r="J33" s="5">
        <f t="shared" si="4"/>
        <v>217954.03</v>
      </c>
      <c r="K33" s="5">
        <f t="shared" si="5"/>
        <v>1085.045</v>
      </c>
      <c r="L33" s="5"/>
      <c r="M33" s="5">
        <v>0.24</v>
      </c>
      <c r="N33" s="5">
        <v>217954.03</v>
      </c>
      <c r="O33" s="5">
        <v>0.05</v>
      </c>
      <c r="P33" s="5"/>
      <c r="Q33" s="5">
        <v>-197828.03</v>
      </c>
      <c r="R33" s="5">
        <v>217954.03</v>
      </c>
      <c r="S33" s="5">
        <v>2170.04</v>
      </c>
      <c r="T33" s="5"/>
    </row>
    <row r="34" spans="1:20" ht="12.75">
      <c r="A34" s="37">
        <f t="shared" si="6"/>
        <v>18</v>
      </c>
      <c r="B34" s="5" t="s">
        <v>163</v>
      </c>
      <c r="C34" s="5">
        <f t="shared" si="0"/>
        <v>130814.6</v>
      </c>
      <c r="D34" s="5">
        <f t="shared" si="1"/>
        <v>58172.7</v>
      </c>
      <c r="E34" s="5"/>
      <c r="F34" s="5"/>
      <c r="G34" s="5">
        <f t="shared" si="2"/>
        <v>94494</v>
      </c>
      <c r="H34" s="5"/>
      <c r="I34" s="5">
        <f t="shared" si="3"/>
        <v>94493.65</v>
      </c>
      <c r="J34" s="5">
        <f t="shared" si="4"/>
        <v>0</v>
      </c>
      <c r="K34" s="5">
        <f t="shared" si="5"/>
        <v>0</v>
      </c>
      <c r="L34" s="5"/>
      <c r="M34" s="5">
        <v>130814.6</v>
      </c>
      <c r="N34" s="5">
        <v>0</v>
      </c>
      <c r="O34" s="5">
        <v>0</v>
      </c>
      <c r="P34" s="5"/>
      <c r="Q34" s="5">
        <v>58172.7</v>
      </c>
      <c r="R34" s="5">
        <v>0</v>
      </c>
      <c r="S34" s="5">
        <v>0</v>
      </c>
      <c r="T34" s="5"/>
    </row>
    <row r="35" spans="1:20" ht="12.75">
      <c r="A35" s="37">
        <f t="shared" si="6"/>
        <v>19</v>
      </c>
      <c r="B35" s="6" t="s">
        <v>164</v>
      </c>
      <c r="C35" s="5">
        <f t="shared" si="0"/>
        <v>-18469.15</v>
      </c>
      <c r="D35" s="5">
        <f t="shared" si="1"/>
        <v>69066.4</v>
      </c>
      <c r="E35" s="5"/>
      <c r="F35" s="5"/>
      <c r="G35" s="5">
        <f t="shared" si="2"/>
        <v>25299</v>
      </c>
      <c r="H35" s="5"/>
      <c r="I35" s="5">
        <f t="shared" si="3"/>
        <v>25298.624999999996</v>
      </c>
      <c r="J35" s="5">
        <f t="shared" si="4"/>
        <v>0</v>
      </c>
      <c r="K35" s="5">
        <f t="shared" si="5"/>
        <v>0</v>
      </c>
      <c r="L35" s="5"/>
      <c r="M35" s="5">
        <v>-18469.15</v>
      </c>
      <c r="N35" s="5">
        <v>0</v>
      </c>
      <c r="O35" s="5">
        <v>0</v>
      </c>
      <c r="P35" s="5"/>
      <c r="Q35" s="5">
        <v>69066.4</v>
      </c>
      <c r="R35" s="5">
        <v>0</v>
      </c>
      <c r="S35" s="5">
        <v>0</v>
      </c>
      <c r="T35" s="5"/>
    </row>
    <row r="36" spans="1:20" ht="12.75">
      <c r="A36" s="37">
        <f t="shared" si="6"/>
        <v>20</v>
      </c>
      <c r="B36" s="5" t="s">
        <v>165</v>
      </c>
      <c r="C36" s="5">
        <f t="shared" si="0"/>
        <v>390531.51</v>
      </c>
      <c r="D36" s="5">
        <f t="shared" si="1"/>
        <v>537465.56</v>
      </c>
      <c r="E36" s="5"/>
      <c r="F36" s="5"/>
      <c r="G36" s="5">
        <f t="shared" si="2"/>
        <v>463999</v>
      </c>
      <c r="H36" s="5"/>
      <c r="I36" s="5">
        <f t="shared" si="3"/>
        <v>214090.495</v>
      </c>
      <c r="J36" s="5">
        <f t="shared" si="4"/>
        <v>103719.565</v>
      </c>
      <c r="K36" s="5">
        <f t="shared" si="5"/>
        <v>146188.475</v>
      </c>
      <c r="L36" s="5"/>
      <c r="M36" s="5">
        <v>215558.57</v>
      </c>
      <c r="N36" s="5">
        <v>131955.22</v>
      </c>
      <c r="O36" s="5">
        <v>43017.72</v>
      </c>
      <c r="P36" s="5"/>
      <c r="Q36" s="5">
        <v>212622.42</v>
      </c>
      <c r="R36" s="5">
        <v>75483.91</v>
      </c>
      <c r="S36" s="5">
        <v>249359.23</v>
      </c>
      <c r="T36" s="5"/>
    </row>
    <row r="37" spans="1:20" ht="12.75">
      <c r="A37" s="37">
        <f t="shared" si="6"/>
        <v>21</v>
      </c>
      <c r="B37" s="5" t="s">
        <v>167</v>
      </c>
      <c r="C37" s="5">
        <f t="shared" si="0"/>
        <v>776542.29</v>
      </c>
      <c r="D37" s="5">
        <f t="shared" si="1"/>
        <v>714482.9199999999</v>
      </c>
      <c r="E37" s="5"/>
      <c r="F37" s="5"/>
      <c r="G37" s="5">
        <f t="shared" si="2"/>
        <v>745513</v>
      </c>
      <c r="H37" s="5"/>
      <c r="I37" s="5">
        <f t="shared" si="3"/>
        <v>260693.325</v>
      </c>
      <c r="J37" s="5">
        <f t="shared" si="4"/>
        <v>67941.405</v>
      </c>
      <c r="K37" s="5">
        <f t="shared" si="5"/>
        <v>416877.875</v>
      </c>
      <c r="L37" s="5"/>
      <c r="M37" s="5">
        <v>265950.07</v>
      </c>
      <c r="N37" s="5">
        <v>70655.1</v>
      </c>
      <c r="O37" s="5">
        <v>439937.12</v>
      </c>
      <c r="P37" s="5"/>
      <c r="Q37" s="5">
        <v>255436.58</v>
      </c>
      <c r="R37" s="5">
        <v>65227.71</v>
      </c>
      <c r="S37" s="5">
        <v>393818.63</v>
      </c>
      <c r="T37" s="5"/>
    </row>
    <row r="38" spans="1:20" ht="12.75">
      <c r="A38" s="37">
        <f t="shared" si="6"/>
        <v>22</v>
      </c>
      <c r="B38" s="6" t="s">
        <v>168</v>
      </c>
      <c r="C38" s="5">
        <f t="shared" si="0"/>
        <v>94258.99</v>
      </c>
      <c r="D38" s="5">
        <f t="shared" si="1"/>
        <v>77917.83</v>
      </c>
      <c r="E38" s="5"/>
      <c r="F38" s="5"/>
      <c r="G38" s="5">
        <f t="shared" si="2"/>
        <v>86088</v>
      </c>
      <c r="H38" s="5"/>
      <c r="I38" s="5">
        <f t="shared" si="3"/>
        <v>1917.7800000000002</v>
      </c>
      <c r="J38" s="5">
        <f t="shared" si="4"/>
        <v>0</v>
      </c>
      <c r="K38" s="5">
        <f t="shared" si="5"/>
        <v>84170.63</v>
      </c>
      <c r="L38" s="5"/>
      <c r="M38" s="5">
        <v>-0.22</v>
      </c>
      <c r="N38" s="5">
        <v>0</v>
      </c>
      <c r="O38" s="5">
        <v>94259.21</v>
      </c>
      <c r="P38" s="5"/>
      <c r="Q38" s="5">
        <v>3835.78</v>
      </c>
      <c r="R38" s="5">
        <v>0</v>
      </c>
      <c r="S38" s="5">
        <v>74082.05</v>
      </c>
      <c r="T38" s="5"/>
    </row>
    <row r="39" spans="1:20" ht="12.75">
      <c r="A39" s="37">
        <f t="shared" si="6"/>
        <v>23</v>
      </c>
      <c r="B39" s="6" t="s">
        <v>421</v>
      </c>
      <c r="C39" s="5">
        <f t="shared" si="0"/>
        <v>0.01</v>
      </c>
      <c r="D39" s="5">
        <f t="shared" si="1"/>
        <v>265017.94</v>
      </c>
      <c r="E39" s="5"/>
      <c r="F39" s="5"/>
      <c r="G39" s="5">
        <f t="shared" si="2"/>
        <v>132509</v>
      </c>
      <c r="H39" s="5"/>
      <c r="I39" s="5">
        <f t="shared" si="3"/>
        <v>32468.02</v>
      </c>
      <c r="J39" s="5">
        <f t="shared" si="4"/>
        <v>12440.755</v>
      </c>
      <c r="K39" s="5">
        <f t="shared" si="5"/>
        <v>87600.20000000001</v>
      </c>
      <c r="L39" s="5"/>
      <c r="M39" s="5">
        <v>0</v>
      </c>
      <c r="N39" s="5">
        <v>0</v>
      </c>
      <c r="O39" s="5">
        <v>0.01</v>
      </c>
      <c r="P39" s="5"/>
      <c r="Q39" s="5">
        <v>64936.04</v>
      </c>
      <c r="R39" s="5">
        <v>24881.51</v>
      </c>
      <c r="S39" s="5">
        <v>175200.39</v>
      </c>
      <c r="T39" s="5"/>
    </row>
    <row r="40" spans="1:20" ht="12.75">
      <c r="A40" s="37">
        <f t="shared" si="6"/>
        <v>24</v>
      </c>
      <c r="B40" s="5" t="s">
        <v>170</v>
      </c>
      <c r="C40" s="5">
        <f t="shared" si="0"/>
        <v>-7301.84</v>
      </c>
      <c r="D40" s="5">
        <f t="shared" si="1"/>
        <v>-7301.84</v>
      </c>
      <c r="E40" s="5"/>
      <c r="F40" s="5"/>
      <c r="G40" s="5">
        <f t="shared" si="2"/>
        <v>-7302</v>
      </c>
      <c r="H40" s="5"/>
      <c r="I40" s="5">
        <f t="shared" si="3"/>
        <v>-7301.52</v>
      </c>
      <c r="J40" s="5">
        <f t="shared" si="4"/>
        <v>-0.20000000000002274</v>
      </c>
      <c r="K40" s="5">
        <f t="shared" si="5"/>
        <v>-0.11999999999994543</v>
      </c>
      <c r="L40" s="5"/>
      <c r="M40" s="5">
        <f>-5192.52-2109</f>
        <v>-7301.52</v>
      </c>
      <c r="N40" s="5">
        <f>1405.8-1406</f>
        <v>-0.20000000000004547</v>
      </c>
      <c r="O40" s="5">
        <f>2108.88-2109</f>
        <v>-0.11999999999989086</v>
      </c>
      <c r="P40" s="5"/>
      <c r="Q40" s="5">
        <f>-5192.52-2109</f>
        <v>-7301.52</v>
      </c>
      <c r="R40" s="5">
        <v>-0.2</v>
      </c>
      <c r="S40" s="5">
        <v>-0.12</v>
      </c>
      <c r="T40" s="5"/>
    </row>
    <row r="41" spans="1:20" ht="12.75">
      <c r="A41" s="37">
        <f t="shared" si="6"/>
        <v>25</v>
      </c>
      <c r="B41" s="6" t="s">
        <v>422</v>
      </c>
      <c r="C41" s="5">
        <f t="shared" si="0"/>
        <v>-24950.60000000002</v>
      </c>
      <c r="D41" s="5">
        <f t="shared" si="1"/>
        <v>156799.15000000002</v>
      </c>
      <c r="E41" s="5"/>
      <c r="F41" s="5"/>
      <c r="G41" s="5">
        <f t="shared" si="2"/>
        <v>65924</v>
      </c>
      <c r="H41" s="5"/>
      <c r="I41" s="5">
        <f t="shared" si="3"/>
        <v>48089.95</v>
      </c>
      <c r="J41" s="5">
        <f t="shared" si="4"/>
        <v>-1547.050000000003</v>
      </c>
      <c r="K41" s="5">
        <f t="shared" si="5"/>
        <v>19381.375</v>
      </c>
      <c r="L41" s="5"/>
      <c r="M41" s="5">
        <f>-145206.95+116047</f>
        <v>-29159.95000000001</v>
      </c>
      <c r="N41" s="5">
        <f>-78733.55+77302</f>
        <v>-1431.550000000003</v>
      </c>
      <c r="O41" s="5">
        <f>-110406.1+116047</f>
        <v>5640.899999999994</v>
      </c>
      <c r="P41" s="5"/>
      <c r="Q41" s="5">
        <f>9292.85+116047</f>
        <v>125339.85</v>
      </c>
      <c r="R41" s="5">
        <f>-78964.55+77302</f>
        <v>-1662.550000000003</v>
      </c>
      <c r="S41" s="5">
        <f>-82925.15+116047</f>
        <v>33121.850000000006</v>
      </c>
      <c r="T41" s="5"/>
    </row>
    <row r="42" spans="1:20" ht="12.75">
      <c r="A42" s="37">
        <f t="shared" si="6"/>
        <v>26</v>
      </c>
      <c r="B42" s="6" t="s">
        <v>423</v>
      </c>
      <c r="C42" s="5">
        <f t="shared" si="0"/>
        <v>25485.6</v>
      </c>
      <c r="D42" s="5">
        <f t="shared" si="1"/>
        <v>-125030.15</v>
      </c>
      <c r="E42" s="5"/>
      <c r="F42" s="5"/>
      <c r="G42" s="5">
        <f t="shared" si="2"/>
        <v>-49772</v>
      </c>
      <c r="H42" s="5"/>
      <c r="I42" s="5">
        <f t="shared" si="3"/>
        <v>-50279.125</v>
      </c>
      <c r="J42" s="5">
        <f t="shared" si="4"/>
        <v>-3345.375</v>
      </c>
      <c r="K42" s="5">
        <f t="shared" si="5"/>
        <v>3852.2250000000004</v>
      </c>
      <c r="L42" s="5"/>
      <c r="M42" s="5">
        <f>48732.95-26767</f>
        <v>21965.949999999997</v>
      </c>
      <c r="N42" s="5">
        <f>17738.7-17845</f>
        <v>-106.29999999999927</v>
      </c>
      <c r="O42" s="5">
        <f>30392.95-26767</f>
        <v>3625.9500000000007</v>
      </c>
      <c r="P42" s="5"/>
      <c r="Q42" s="5">
        <f>-95757.2-26767</f>
        <v>-122524.2</v>
      </c>
      <c r="R42" s="5">
        <f>11260.55-17845</f>
        <v>-6584.450000000001</v>
      </c>
      <c r="S42" s="5">
        <f>30845.5-26767</f>
        <v>4078.5</v>
      </c>
      <c r="T42" s="5"/>
    </row>
    <row r="43" spans="1:20" ht="12.75">
      <c r="A43" s="37">
        <f t="shared" si="6"/>
        <v>27</v>
      </c>
      <c r="B43" s="6" t="s">
        <v>424</v>
      </c>
      <c r="C43" s="5">
        <f t="shared" si="0"/>
        <v>4822.6500000000015</v>
      </c>
      <c r="D43" s="5">
        <f t="shared" si="1"/>
        <v>4822.6500000000015</v>
      </c>
      <c r="E43" s="5"/>
      <c r="F43" s="5"/>
      <c r="G43" s="5">
        <f t="shared" si="2"/>
        <v>4823</v>
      </c>
      <c r="H43" s="5"/>
      <c r="I43" s="5">
        <f t="shared" si="3"/>
        <v>19681.15</v>
      </c>
      <c r="J43" s="5">
        <f t="shared" si="4"/>
        <v>-75137.2</v>
      </c>
      <c r="K43" s="5">
        <f t="shared" si="5"/>
        <v>60278.7</v>
      </c>
      <c r="L43" s="5"/>
      <c r="M43" s="5">
        <v>19681.15</v>
      </c>
      <c r="N43" s="5">
        <v>-75137.2</v>
      </c>
      <c r="O43" s="5">
        <v>60278.7</v>
      </c>
      <c r="P43" s="5"/>
      <c r="Q43" s="5">
        <v>19681.15</v>
      </c>
      <c r="R43" s="5">
        <v>-75137.2</v>
      </c>
      <c r="S43" s="5">
        <v>60278.7</v>
      </c>
      <c r="T43" s="5"/>
    </row>
    <row r="44" spans="1:20" ht="12.75">
      <c r="A44" s="37">
        <f t="shared" si="6"/>
        <v>28</v>
      </c>
      <c r="B44" s="6" t="s">
        <v>177</v>
      </c>
      <c r="C44" s="5">
        <f t="shared" si="0"/>
        <v>482504.52</v>
      </c>
      <c r="D44" s="5">
        <f t="shared" si="1"/>
        <v>556427.33</v>
      </c>
      <c r="E44" s="5"/>
      <c r="F44" s="5"/>
      <c r="G44" s="5">
        <f t="shared" si="2"/>
        <v>519466</v>
      </c>
      <c r="H44" s="5"/>
      <c r="I44" s="5">
        <f t="shared" si="3"/>
        <v>519465.925</v>
      </c>
      <c r="J44" s="5">
        <f t="shared" si="4"/>
        <v>0</v>
      </c>
      <c r="K44" s="5">
        <f t="shared" si="5"/>
        <v>0</v>
      </c>
      <c r="L44" s="5"/>
      <c r="M44" s="5">
        <v>482504.52</v>
      </c>
      <c r="N44" s="5">
        <v>0</v>
      </c>
      <c r="O44" s="5">
        <v>0</v>
      </c>
      <c r="P44" s="5"/>
      <c r="Q44" s="5">
        <v>556427.33</v>
      </c>
      <c r="R44" s="5">
        <v>0</v>
      </c>
      <c r="S44" s="5">
        <v>0</v>
      </c>
      <c r="T44" s="5"/>
    </row>
    <row r="45" spans="1:20" ht="12.75">
      <c r="A45" s="37">
        <f t="shared" si="6"/>
        <v>29</v>
      </c>
      <c r="B45" s="6" t="s">
        <v>349</v>
      </c>
      <c r="C45" s="5">
        <f t="shared" si="0"/>
        <v>203405.87</v>
      </c>
      <c r="D45" s="5">
        <f t="shared" si="1"/>
        <v>272336.16</v>
      </c>
      <c r="E45" s="5"/>
      <c r="F45" s="5"/>
      <c r="G45" s="5">
        <f t="shared" si="2"/>
        <v>237871</v>
      </c>
      <c r="H45" s="5"/>
      <c r="I45" s="5">
        <f t="shared" si="3"/>
        <v>237871.01499999998</v>
      </c>
      <c r="J45" s="5">
        <f t="shared" si="4"/>
        <v>0</v>
      </c>
      <c r="K45" s="5">
        <f t="shared" si="5"/>
        <v>0</v>
      </c>
      <c r="L45" s="5"/>
      <c r="M45" s="5">
        <v>203405.87</v>
      </c>
      <c r="N45" s="5">
        <v>0</v>
      </c>
      <c r="O45" s="5">
        <v>0</v>
      </c>
      <c r="P45" s="5"/>
      <c r="Q45" s="5">
        <v>272336.16</v>
      </c>
      <c r="R45" s="5">
        <v>0</v>
      </c>
      <c r="S45" s="5">
        <v>0</v>
      </c>
      <c r="T45" s="5"/>
    </row>
    <row r="46" spans="1:20" ht="12.75">
      <c r="A46" s="37">
        <f t="shared" si="6"/>
        <v>30</v>
      </c>
      <c r="B46" s="6" t="s">
        <v>425</v>
      </c>
      <c r="C46" s="5">
        <f t="shared" si="0"/>
        <v>-5755593.9</v>
      </c>
      <c r="D46" s="5">
        <f t="shared" si="1"/>
        <v>-7400049.3</v>
      </c>
      <c r="E46" s="5"/>
      <c r="F46" s="5"/>
      <c r="G46" s="5">
        <f t="shared" si="2"/>
        <v>-6577822</v>
      </c>
      <c r="H46" s="5"/>
      <c r="I46" s="5">
        <f t="shared" si="3"/>
        <v>0</v>
      </c>
      <c r="J46" s="5">
        <f t="shared" si="4"/>
        <v>0</v>
      </c>
      <c r="K46" s="5">
        <f t="shared" si="5"/>
        <v>-6577821.6</v>
      </c>
      <c r="L46" s="5"/>
      <c r="M46" s="5">
        <v>0</v>
      </c>
      <c r="N46" s="5">
        <v>0</v>
      </c>
      <c r="O46" s="5">
        <v>-5755593.9</v>
      </c>
      <c r="P46" s="5"/>
      <c r="Q46" s="5">
        <v>0</v>
      </c>
      <c r="R46" s="5">
        <v>0</v>
      </c>
      <c r="S46" s="5">
        <v>-7400049.3</v>
      </c>
      <c r="T46" s="5"/>
    </row>
    <row r="47" spans="1:20" ht="12.75">
      <c r="A47" s="37">
        <f t="shared" si="6"/>
        <v>31</v>
      </c>
      <c r="B47" s="6" t="s">
        <v>426</v>
      </c>
      <c r="C47" s="5">
        <f t="shared" si="0"/>
        <v>1237685.62</v>
      </c>
      <c r="D47" s="5">
        <f t="shared" si="1"/>
        <v>2012961.87</v>
      </c>
      <c r="E47" s="5"/>
      <c r="F47" s="5"/>
      <c r="G47" s="5">
        <f t="shared" si="2"/>
        <v>1625324</v>
      </c>
      <c r="H47" s="5"/>
      <c r="I47" s="5">
        <f t="shared" si="3"/>
        <v>1625323.745</v>
      </c>
      <c r="J47" s="5">
        <f t="shared" si="4"/>
        <v>0</v>
      </c>
      <c r="K47" s="5">
        <f t="shared" si="5"/>
        <v>0</v>
      </c>
      <c r="L47" s="5"/>
      <c r="M47" s="5">
        <v>1237685.62</v>
      </c>
      <c r="N47" s="5">
        <v>0</v>
      </c>
      <c r="O47" s="5">
        <v>0</v>
      </c>
      <c r="P47" s="5"/>
      <c r="Q47" s="5">
        <v>2012961.87</v>
      </c>
      <c r="R47" s="5">
        <v>0</v>
      </c>
      <c r="S47" s="5">
        <v>0</v>
      </c>
      <c r="T47" s="5"/>
    </row>
    <row r="48" spans="1:20" ht="12.75">
      <c r="A48" s="37">
        <f t="shared" si="6"/>
        <v>32</v>
      </c>
      <c r="B48" s="6" t="s">
        <v>181</v>
      </c>
      <c r="C48" s="5">
        <f t="shared" si="0"/>
        <v>45599.59</v>
      </c>
      <c r="D48" s="5">
        <f t="shared" si="1"/>
        <v>50344.1</v>
      </c>
      <c r="E48" s="5"/>
      <c r="F48" s="5"/>
      <c r="G48" s="5">
        <f t="shared" si="2"/>
        <v>47972</v>
      </c>
      <c r="H48" s="5"/>
      <c r="I48" s="5">
        <f t="shared" si="3"/>
        <v>0</v>
      </c>
      <c r="J48" s="5">
        <f t="shared" si="4"/>
        <v>47971.845</v>
      </c>
      <c r="K48" s="5">
        <f t="shared" si="5"/>
        <v>0</v>
      </c>
      <c r="L48" s="5"/>
      <c r="M48" s="5">
        <v>0</v>
      </c>
      <c r="N48" s="5">
        <v>45599.59</v>
      </c>
      <c r="O48" s="5">
        <v>0</v>
      </c>
      <c r="P48" s="5"/>
      <c r="Q48" s="5">
        <v>0</v>
      </c>
      <c r="R48" s="5">
        <v>50344.1</v>
      </c>
      <c r="S48" s="5">
        <v>0</v>
      </c>
      <c r="T48" s="5"/>
    </row>
    <row r="49" spans="1:20" ht="12.75">
      <c r="A49" s="37">
        <f t="shared" si="6"/>
        <v>33</v>
      </c>
      <c r="B49" s="5" t="s">
        <v>189</v>
      </c>
      <c r="C49" s="5">
        <f t="shared" si="0"/>
        <v>53684.74</v>
      </c>
      <c r="D49" s="5">
        <f t="shared" si="1"/>
        <v>34037.7</v>
      </c>
      <c r="E49" s="5"/>
      <c r="F49" s="5"/>
      <c r="G49" s="5">
        <f t="shared" si="2"/>
        <v>43861</v>
      </c>
      <c r="H49" s="5"/>
      <c r="I49" s="5">
        <f t="shared" si="3"/>
        <v>0</v>
      </c>
      <c r="J49" s="5">
        <f t="shared" si="4"/>
        <v>0</v>
      </c>
      <c r="K49" s="5">
        <f t="shared" si="5"/>
        <v>43861.22</v>
      </c>
      <c r="L49" s="5"/>
      <c r="M49" s="5">
        <v>0</v>
      </c>
      <c r="N49" s="5">
        <v>0</v>
      </c>
      <c r="O49" s="5">
        <v>53684.74</v>
      </c>
      <c r="P49" s="5"/>
      <c r="Q49" s="5">
        <v>0</v>
      </c>
      <c r="R49" s="5">
        <v>0</v>
      </c>
      <c r="S49" s="5">
        <v>34037.7</v>
      </c>
      <c r="T49" s="5"/>
    </row>
    <row r="50" spans="1:20" ht="12.75">
      <c r="A50" s="37">
        <f aca="true" t="shared" si="7" ref="A50:A73">A49+1</f>
        <v>34</v>
      </c>
      <c r="B50" s="5" t="s">
        <v>193</v>
      </c>
      <c r="C50" s="5">
        <f t="shared" si="0"/>
        <v>-32756.35</v>
      </c>
      <c r="D50" s="5">
        <f t="shared" si="1"/>
        <v>-31958.35</v>
      </c>
      <c r="E50" s="5"/>
      <c r="F50" s="5"/>
      <c r="G50" s="5">
        <f t="shared" si="2"/>
        <v>-32357</v>
      </c>
      <c r="H50" s="5"/>
      <c r="I50" s="5">
        <f t="shared" si="3"/>
        <v>4.35</v>
      </c>
      <c r="J50" s="5">
        <f t="shared" si="4"/>
        <v>-13.975000000000001</v>
      </c>
      <c r="K50" s="5">
        <f t="shared" si="5"/>
        <v>-32347.725</v>
      </c>
      <c r="L50" s="5"/>
      <c r="M50" s="5">
        <v>11.35</v>
      </c>
      <c r="N50" s="5">
        <v>-18.35</v>
      </c>
      <c r="O50" s="5">
        <v>-32749.35</v>
      </c>
      <c r="P50" s="5"/>
      <c r="Q50" s="5">
        <v>-2.65</v>
      </c>
      <c r="R50" s="5">
        <v>-9.6</v>
      </c>
      <c r="S50" s="5">
        <v>-31946.1</v>
      </c>
      <c r="T50" s="5"/>
    </row>
    <row r="51" spans="1:20" ht="12.75">
      <c r="A51" s="37">
        <f t="shared" si="7"/>
        <v>35</v>
      </c>
      <c r="B51" s="5" t="s">
        <v>195</v>
      </c>
      <c r="C51" s="5">
        <f t="shared" si="0"/>
        <v>1989360.6800000002</v>
      </c>
      <c r="D51" s="5">
        <f t="shared" si="1"/>
        <v>1853459.46</v>
      </c>
      <c r="E51" s="5"/>
      <c r="F51" s="5"/>
      <c r="G51" s="5">
        <f t="shared" si="2"/>
        <v>1921410</v>
      </c>
      <c r="H51" s="5"/>
      <c r="I51" s="5">
        <f t="shared" si="3"/>
        <v>617852.785</v>
      </c>
      <c r="J51" s="5">
        <f t="shared" si="4"/>
        <v>138610.84999999998</v>
      </c>
      <c r="K51" s="5">
        <f t="shared" si="5"/>
        <v>1164946.435</v>
      </c>
      <c r="L51" s="5"/>
      <c r="M51" s="5">
        <v>654726.77</v>
      </c>
      <c r="N51" s="5">
        <v>139218.58</v>
      </c>
      <c r="O51" s="5">
        <v>1195415.33</v>
      </c>
      <c r="P51" s="5"/>
      <c r="Q51" s="5">
        <v>580978.8</v>
      </c>
      <c r="R51" s="5">
        <v>138003.12</v>
      </c>
      <c r="S51" s="5">
        <v>1134477.54</v>
      </c>
      <c r="T51" s="5"/>
    </row>
    <row r="52" spans="1:20" ht="12.75">
      <c r="A52" s="37">
        <f t="shared" si="7"/>
        <v>36</v>
      </c>
      <c r="B52" s="6" t="s">
        <v>427</v>
      </c>
      <c r="C52" s="5">
        <f t="shared" si="0"/>
        <v>1431774.75</v>
      </c>
      <c r="D52" s="5">
        <f t="shared" si="1"/>
        <v>974087.1</v>
      </c>
      <c r="E52" s="5"/>
      <c r="F52" s="5"/>
      <c r="G52" s="5">
        <f t="shared" si="2"/>
        <v>1202931</v>
      </c>
      <c r="H52" s="5"/>
      <c r="I52" s="5">
        <f t="shared" si="3"/>
        <v>434866.07499999995</v>
      </c>
      <c r="J52" s="5">
        <f t="shared" si="4"/>
        <v>79322.775</v>
      </c>
      <c r="K52" s="5">
        <f t="shared" si="5"/>
        <v>688742.075</v>
      </c>
      <c r="L52" s="5"/>
      <c r="M52" s="5">
        <v>522234.3</v>
      </c>
      <c r="N52" s="5">
        <v>92756.3</v>
      </c>
      <c r="O52" s="5">
        <v>816784.15</v>
      </c>
      <c r="P52" s="5"/>
      <c r="Q52" s="5">
        <v>347497.85</v>
      </c>
      <c r="R52" s="5">
        <v>65889.25</v>
      </c>
      <c r="S52" s="5">
        <v>560700</v>
      </c>
      <c r="T52" s="5"/>
    </row>
    <row r="53" spans="1:20" ht="12.75">
      <c r="A53" s="37">
        <f t="shared" si="7"/>
        <v>37</v>
      </c>
      <c r="B53" s="6" t="s">
        <v>197</v>
      </c>
      <c r="C53" s="5">
        <f t="shared" si="0"/>
        <v>7040371.449999999</v>
      </c>
      <c r="D53" s="5">
        <f t="shared" si="1"/>
        <v>5611293.8</v>
      </c>
      <c r="E53" s="5"/>
      <c r="F53" s="5"/>
      <c r="G53" s="5">
        <f t="shared" si="2"/>
        <v>6325833</v>
      </c>
      <c r="H53" s="5"/>
      <c r="I53" s="5">
        <f t="shared" si="3"/>
        <v>2100883.225</v>
      </c>
      <c r="J53" s="5">
        <f t="shared" si="4"/>
        <v>471177.35</v>
      </c>
      <c r="K53" s="5">
        <f t="shared" si="5"/>
        <v>3753772.05</v>
      </c>
      <c r="L53" s="5"/>
      <c r="M53" s="5">
        <v>2391939.9</v>
      </c>
      <c r="N53" s="5">
        <v>526786.75</v>
      </c>
      <c r="O53" s="5">
        <v>4121644.8</v>
      </c>
      <c r="P53" s="5"/>
      <c r="Q53" s="5">
        <v>1809826.55</v>
      </c>
      <c r="R53" s="5">
        <v>415567.95</v>
      </c>
      <c r="S53" s="5">
        <v>3385899.3</v>
      </c>
      <c r="T53" s="5"/>
    </row>
    <row r="54" spans="1:20" ht="12.75">
      <c r="A54" s="37">
        <f t="shared" si="7"/>
        <v>38</v>
      </c>
      <c r="B54" s="6" t="s">
        <v>428</v>
      </c>
      <c r="C54" s="5">
        <f t="shared" si="0"/>
        <v>1821733.6400000001</v>
      </c>
      <c r="D54" s="5">
        <f t="shared" si="1"/>
        <v>2259716.5</v>
      </c>
      <c r="E54" s="5"/>
      <c r="F54" s="5"/>
      <c r="G54" s="5">
        <f t="shared" si="2"/>
        <v>2040725</v>
      </c>
      <c r="H54" s="5"/>
      <c r="I54" s="5">
        <f t="shared" si="3"/>
        <v>788338.6950000001</v>
      </c>
      <c r="J54" s="5">
        <f t="shared" si="4"/>
        <v>119837.36</v>
      </c>
      <c r="K54" s="5">
        <f t="shared" si="5"/>
        <v>1132549.0150000001</v>
      </c>
      <c r="L54" s="5"/>
      <c r="M54" s="5">
        <v>571842.22</v>
      </c>
      <c r="N54" s="5">
        <v>57486.84</v>
      </c>
      <c r="O54" s="5">
        <v>1192404.58</v>
      </c>
      <c r="P54" s="5"/>
      <c r="Q54" s="5">
        <v>1004835.17</v>
      </c>
      <c r="R54" s="5">
        <v>182187.88</v>
      </c>
      <c r="S54" s="5">
        <v>1072693.45</v>
      </c>
      <c r="T54" s="6"/>
    </row>
    <row r="55" spans="1:20" ht="12.75">
      <c r="A55" s="37">
        <f t="shared" si="7"/>
        <v>39</v>
      </c>
      <c r="B55" s="6" t="s">
        <v>429</v>
      </c>
      <c r="C55" s="5">
        <f t="shared" si="0"/>
        <v>1300432.74</v>
      </c>
      <c r="D55" s="5">
        <f t="shared" si="1"/>
        <v>1447814.45</v>
      </c>
      <c r="E55" s="5"/>
      <c r="F55" s="5"/>
      <c r="G55" s="5">
        <f t="shared" si="2"/>
        <v>1374124</v>
      </c>
      <c r="H55" s="5"/>
      <c r="I55" s="5">
        <f t="shared" si="3"/>
        <v>1374420.0699999998</v>
      </c>
      <c r="J55" s="5">
        <f t="shared" si="4"/>
        <v>0</v>
      </c>
      <c r="K55" s="5">
        <f t="shared" si="5"/>
        <v>-296.475</v>
      </c>
      <c r="L55" s="5"/>
      <c r="M55" s="5">
        <v>1301025.69</v>
      </c>
      <c r="N55" s="5">
        <v>0</v>
      </c>
      <c r="O55" s="5">
        <v>-592.95</v>
      </c>
      <c r="P55" s="5"/>
      <c r="Q55" s="5">
        <v>1447814.45</v>
      </c>
      <c r="R55" s="5">
        <v>0</v>
      </c>
      <c r="S55" s="5">
        <v>0</v>
      </c>
      <c r="T55" s="5"/>
    </row>
    <row r="56" spans="1:20" ht="12.75">
      <c r="A56" s="37">
        <f t="shared" si="7"/>
        <v>40</v>
      </c>
      <c r="B56" s="6" t="s">
        <v>430</v>
      </c>
      <c r="C56" s="5">
        <f t="shared" si="0"/>
        <v>-69368.25</v>
      </c>
      <c r="D56" s="5">
        <f t="shared" si="1"/>
        <v>0</v>
      </c>
      <c r="E56" s="5"/>
      <c r="F56" s="5"/>
      <c r="G56" s="5">
        <f t="shared" si="2"/>
        <v>-34684</v>
      </c>
      <c r="H56" s="5"/>
      <c r="I56" s="5">
        <f t="shared" si="3"/>
        <v>-26439.525</v>
      </c>
      <c r="J56" s="5">
        <f t="shared" si="4"/>
        <v>-353.85</v>
      </c>
      <c r="K56" s="5">
        <f t="shared" si="5"/>
        <v>-7890.75</v>
      </c>
      <c r="L56" s="5"/>
      <c r="M56" s="5">
        <v>-52879.05</v>
      </c>
      <c r="N56" s="5">
        <v>-707.7</v>
      </c>
      <c r="O56" s="5">
        <v>-15781.5</v>
      </c>
      <c r="P56" s="5"/>
      <c r="Q56" s="5">
        <v>0</v>
      </c>
      <c r="R56" s="5">
        <v>0</v>
      </c>
      <c r="S56" s="5">
        <v>0</v>
      </c>
      <c r="T56" s="5"/>
    </row>
    <row r="57" spans="1:20" ht="12.75">
      <c r="A57" s="37">
        <f t="shared" si="7"/>
        <v>41</v>
      </c>
      <c r="B57" s="6" t="s">
        <v>204</v>
      </c>
      <c r="C57" s="5">
        <f t="shared" si="0"/>
        <v>0</v>
      </c>
      <c r="D57" s="5">
        <f t="shared" si="1"/>
        <v>0</v>
      </c>
      <c r="E57" s="5"/>
      <c r="F57" s="5"/>
      <c r="G57" s="5">
        <f t="shared" si="2"/>
        <v>0</v>
      </c>
      <c r="H57" s="5"/>
      <c r="I57" s="5">
        <f t="shared" si="3"/>
        <v>0</v>
      </c>
      <c r="J57" s="5">
        <f t="shared" si="4"/>
        <v>0</v>
      </c>
      <c r="K57" s="5">
        <f t="shared" si="5"/>
        <v>0</v>
      </c>
      <c r="L57" s="5"/>
      <c r="M57" s="5">
        <v>0</v>
      </c>
      <c r="N57" s="5">
        <v>0</v>
      </c>
      <c r="O57" s="5">
        <v>0</v>
      </c>
      <c r="P57" s="5"/>
      <c r="Q57" s="5">
        <v>0</v>
      </c>
      <c r="R57" s="5">
        <v>0</v>
      </c>
      <c r="S57" s="5">
        <v>0</v>
      </c>
      <c r="T57" s="5"/>
    </row>
    <row r="58" spans="1:20" ht="12.75">
      <c r="A58" s="37">
        <f t="shared" si="7"/>
        <v>42</v>
      </c>
      <c r="B58" s="6" t="s">
        <v>431</v>
      </c>
      <c r="C58" s="5">
        <f t="shared" si="0"/>
        <v>0</v>
      </c>
      <c r="D58" s="5">
        <f t="shared" si="1"/>
        <v>227920</v>
      </c>
      <c r="E58" s="5"/>
      <c r="F58" s="5"/>
      <c r="G58" s="5">
        <f t="shared" si="2"/>
        <v>113960</v>
      </c>
      <c r="H58" s="5"/>
      <c r="I58" s="5">
        <f t="shared" si="3"/>
        <v>2782.5</v>
      </c>
      <c r="J58" s="5">
        <f t="shared" si="4"/>
        <v>15715</v>
      </c>
      <c r="K58" s="5">
        <f t="shared" si="5"/>
        <v>95462.5</v>
      </c>
      <c r="L58" s="5"/>
      <c r="M58" s="5">
        <f>-282100+282100</f>
        <v>0</v>
      </c>
      <c r="N58" s="5">
        <f>-141050+141050</f>
        <v>0</v>
      </c>
      <c r="O58" s="5">
        <f>-282100+282100</f>
        <v>0</v>
      </c>
      <c r="P58" s="5"/>
      <c r="Q58" s="5">
        <f>-276535+282100</f>
        <v>5565</v>
      </c>
      <c r="R58" s="5">
        <f>-109620+141050</f>
        <v>31430</v>
      </c>
      <c r="S58" s="5">
        <f>-91175+282100</f>
        <v>190925</v>
      </c>
      <c r="T58" s="5"/>
    </row>
    <row r="59" spans="1:20" ht="12.75">
      <c r="A59" s="37">
        <f t="shared" si="7"/>
        <v>43</v>
      </c>
      <c r="B59" s="6" t="s">
        <v>432</v>
      </c>
      <c r="C59" s="5">
        <f t="shared" si="0"/>
        <v>32812.18000000002</v>
      </c>
      <c r="D59" s="5">
        <f t="shared" si="1"/>
        <v>39070.17999999999</v>
      </c>
      <c r="E59" s="5"/>
      <c r="F59" s="5"/>
      <c r="G59" s="5">
        <f t="shared" si="2"/>
        <v>35941</v>
      </c>
      <c r="H59" s="5"/>
      <c r="I59" s="5">
        <f t="shared" si="3"/>
        <v>37817.060000000005</v>
      </c>
      <c r="J59" s="5">
        <f t="shared" si="4"/>
        <v>-1063.614999999998</v>
      </c>
      <c r="K59" s="5">
        <f t="shared" si="5"/>
        <v>-812.2649999999994</v>
      </c>
      <c r="L59" s="5"/>
      <c r="M59" s="5">
        <f>-121596.04+154973</f>
        <v>33376.96000000001</v>
      </c>
      <c r="N59" s="5">
        <f>-103570.54+103548</f>
        <v>-22.539999999993597</v>
      </c>
      <c r="O59" s="5">
        <f>-155515.24+154973</f>
        <v>-542.2399999999907</v>
      </c>
      <c r="P59" s="5"/>
      <c r="Q59" s="5">
        <f>-112715.84+154973</f>
        <v>42257.16</v>
      </c>
      <c r="R59" s="5">
        <f>-105652.69+103548</f>
        <v>-2104.6900000000023</v>
      </c>
      <c r="S59" s="5">
        <f>-156055.29+154973</f>
        <v>-1082.2900000000081</v>
      </c>
      <c r="T59" s="5"/>
    </row>
    <row r="60" spans="1:20" ht="12.75">
      <c r="A60" s="37">
        <f t="shared" si="7"/>
        <v>44</v>
      </c>
      <c r="B60" s="6" t="s">
        <v>433</v>
      </c>
      <c r="C60" s="5">
        <f t="shared" si="0"/>
        <v>95452.7</v>
      </c>
      <c r="D60" s="5">
        <f t="shared" si="1"/>
        <v>151085.9</v>
      </c>
      <c r="E60" s="5"/>
      <c r="F60" s="5"/>
      <c r="G60" s="5">
        <f t="shared" si="2"/>
        <v>123269</v>
      </c>
      <c r="H60" s="5"/>
      <c r="I60" s="5">
        <f t="shared" si="3"/>
        <v>109320.225</v>
      </c>
      <c r="J60" s="5">
        <f t="shared" si="4"/>
        <v>-1936.55</v>
      </c>
      <c r="K60" s="5">
        <f t="shared" si="5"/>
        <v>15885.625</v>
      </c>
      <c r="L60" s="5"/>
      <c r="M60" s="5">
        <v>81067.7</v>
      </c>
      <c r="N60" s="5">
        <v>-49.35</v>
      </c>
      <c r="O60" s="5">
        <v>14434.35</v>
      </c>
      <c r="P60" s="5"/>
      <c r="Q60" s="5">
        <v>137572.75</v>
      </c>
      <c r="R60" s="5">
        <v>-3823.75</v>
      </c>
      <c r="S60" s="5">
        <v>17336.9</v>
      </c>
      <c r="T60" s="5"/>
    </row>
    <row r="61" spans="1:20" ht="12.75">
      <c r="A61" s="37">
        <f t="shared" si="7"/>
        <v>45</v>
      </c>
      <c r="B61" s="6" t="s">
        <v>105</v>
      </c>
      <c r="C61" s="5">
        <f t="shared" si="0"/>
        <v>0</v>
      </c>
      <c r="D61" s="5">
        <f t="shared" si="1"/>
        <v>-131969.6</v>
      </c>
      <c r="E61" s="5"/>
      <c r="F61" s="5"/>
      <c r="G61" s="5">
        <f t="shared" si="2"/>
        <v>-65985</v>
      </c>
      <c r="H61" s="5"/>
      <c r="I61" s="5">
        <f t="shared" si="3"/>
        <v>-60291.525</v>
      </c>
      <c r="J61" s="5">
        <f t="shared" si="4"/>
        <v>2044</v>
      </c>
      <c r="K61" s="5">
        <f t="shared" si="5"/>
        <v>-7737.275</v>
      </c>
      <c r="L61" s="5"/>
      <c r="M61" s="5">
        <v>0</v>
      </c>
      <c r="N61" s="5">
        <v>0</v>
      </c>
      <c r="O61" s="5">
        <v>0</v>
      </c>
      <c r="P61" s="5"/>
      <c r="Q61" s="5">
        <v>-120583.05</v>
      </c>
      <c r="R61" s="5">
        <v>4088</v>
      </c>
      <c r="S61" s="5">
        <v>-15474.55</v>
      </c>
      <c r="T61" s="5"/>
    </row>
    <row r="62" spans="1:20" ht="12.75">
      <c r="A62" s="37">
        <f t="shared" si="7"/>
        <v>46</v>
      </c>
      <c r="B62" s="6" t="s">
        <v>210</v>
      </c>
      <c r="C62" s="5">
        <f t="shared" si="0"/>
        <v>58024.8</v>
      </c>
      <c r="D62" s="5">
        <f t="shared" si="1"/>
        <v>58024.75</v>
      </c>
      <c r="E62" s="5"/>
      <c r="F62" s="5"/>
      <c r="G62" s="5">
        <f t="shared" si="2"/>
        <v>58025</v>
      </c>
      <c r="H62" s="5"/>
      <c r="I62" s="5">
        <f t="shared" si="3"/>
        <v>0</v>
      </c>
      <c r="J62" s="5">
        <f t="shared" si="4"/>
        <v>0</v>
      </c>
      <c r="K62" s="5">
        <f t="shared" si="5"/>
        <v>58024.775</v>
      </c>
      <c r="L62" s="5"/>
      <c r="M62" s="5">
        <v>0</v>
      </c>
      <c r="N62" s="5">
        <v>0</v>
      </c>
      <c r="O62" s="5">
        <f>0.05+58024.75</f>
        <v>58024.8</v>
      </c>
      <c r="P62" s="5"/>
      <c r="Q62" s="5"/>
      <c r="R62" s="5">
        <v>0</v>
      </c>
      <c r="S62" s="5">
        <v>58024.75</v>
      </c>
      <c r="T62" s="5"/>
    </row>
    <row r="63" spans="1:20" ht="12.75">
      <c r="A63" s="37">
        <f t="shared" si="7"/>
        <v>47</v>
      </c>
      <c r="B63" s="6" t="s">
        <v>213</v>
      </c>
      <c r="C63" s="5">
        <f t="shared" si="0"/>
        <v>235188.53</v>
      </c>
      <c r="D63" s="5">
        <f t="shared" si="1"/>
        <v>-40845.97</v>
      </c>
      <c r="E63" s="5"/>
      <c r="F63" s="5"/>
      <c r="G63" s="5">
        <f t="shared" si="2"/>
        <v>97171</v>
      </c>
      <c r="H63" s="5"/>
      <c r="I63" s="5">
        <f t="shared" si="3"/>
        <v>128241.66500000001</v>
      </c>
      <c r="J63" s="5">
        <f t="shared" si="4"/>
        <v>0</v>
      </c>
      <c r="K63" s="5">
        <f t="shared" si="5"/>
        <v>-31070.385000000002</v>
      </c>
      <c r="L63" s="5"/>
      <c r="M63" s="5">
        <v>278836.69</v>
      </c>
      <c r="N63" s="5">
        <v>0</v>
      </c>
      <c r="O63" s="5">
        <v>-43648.16</v>
      </c>
      <c r="P63" s="5"/>
      <c r="Q63" s="5">
        <v>-22353.36</v>
      </c>
      <c r="R63" s="5">
        <v>0</v>
      </c>
      <c r="S63" s="5">
        <v>-18492.61</v>
      </c>
      <c r="T63" s="5"/>
    </row>
    <row r="64" spans="1:20" ht="12.75">
      <c r="A64" s="37">
        <f t="shared" si="7"/>
        <v>48</v>
      </c>
      <c r="B64" s="6" t="s">
        <v>434</v>
      </c>
      <c r="C64" s="5">
        <f t="shared" si="0"/>
        <v>83812</v>
      </c>
      <c r="D64" s="5">
        <f t="shared" si="1"/>
        <v>0</v>
      </c>
      <c r="E64" s="5"/>
      <c r="F64" s="5"/>
      <c r="G64" s="5">
        <f t="shared" si="2"/>
        <v>41906</v>
      </c>
      <c r="H64" s="5"/>
      <c r="I64" s="5">
        <f t="shared" si="3"/>
        <v>17951</v>
      </c>
      <c r="J64" s="5">
        <f t="shared" si="4"/>
        <v>23955</v>
      </c>
      <c r="K64" s="5">
        <f t="shared" si="5"/>
        <v>0</v>
      </c>
      <c r="L64" s="5"/>
      <c r="M64" s="5">
        <v>35902</v>
      </c>
      <c r="N64" s="5">
        <v>47910</v>
      </c>
      <c r="O64" s="5">
        <v>0</v>
      </c>
      <c r="P64" s="5"/>
      <c r="Q64" s="5">
        <v>0</v>
      </c>
      <c r="R64" s="5">
        <v>0</v>
      </c>
      <c r="S64" s="5">
        <v>0</v>
      </c>
      <c r="T64" s="5"/>
    </row>
    <row r="65" spans="1:20" ht="12.75">
      <c r="A65" s="37">
        <f t="shared" si="7"/>
        <v>49</v>
      </c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37">
        <f t="shared" si="7"/>
        <v>50</v>
      </c>
      <c r="B66" s="5" t="s">
        <v>25</v>
      </c>
      <c r="C66" s="5">
        <v>640631.41</v>
      </c>
      <c r="D66" s="5">
        <v>407301.79</v>
      </c>
      <c r="E66" s="5">
        <f aca="true" t="shared" si="8" ref="E66:F71">-C66</f>
        <v>-640631.41</v>
      </c>
      <c r="F66" s="5">
        <f t="shared" si="8"/>
        <v>-407301.79</v>
      </c>
      <c r="G66" s="5">
        <f aca="true" t="shared" si="9" ref="G66:G71">ROUND(SUM(C66:F66)/2,0)</f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37">
        <f t="shared" si="7"/>
        <v>51</v>
      </c>
      <c r="B67" s="5" t="s">
        <v>215</v>
      </c>
      <c r="C67" s="5">
        <v>13055773.98</v>
      </c>
      <c r="D67" s="5">
        <v>13666359</v>
      </c>
      <c r="E67" s="5">
        <f t="shared" si="8"/>
        <v>-13055773.98</v>
      </c>
      <c r="F67" s="5">
        <f t="shared" si="8"/>
        <v>-13666359</v>
      </c>
      <c r="G67" s="5">
        <f t="shared" si="9"/>
        <v>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37">
        <f t="shared" si="7"/>
        <v>52</v>
      </c>
      <c r="B68" s="5" t="s">
        <v>216</v>
      </c>
      <c r="C68" s="5">
        <v>357096.38</v>
      </c>
      <c r="D68" s="5">
        <v>381843.53</v>
      </c>
      <c r="E68" s="5">
        <f t="shared" si="8"/>
        <v>-357096.38</v>
      </c>
      <c r="F68" s="5">
        <f t="shared" si="8"/>
        <v>-381843.53</v>
      </c>
      <c r="G68" s="5">
        <f t="shared" si="9"/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37">
        <f t="shared" si="7"/>
        <v>53</v>
      </c>
      <c r="B69" s="5" t="s">
        <v>217</v>
      </c>
      <c r="C69" s="5">
        <v>184245</v>
      </c>
      <c r="D69" s="5">
        <v>54733.05</v>
      </c>
      <c r="E69" s="5">
        <f t="shared" si="8"/>
        <v>-184245</v>
      </c>
      <c r="F69" s="5">
        <f t="shared" si="8"/>
        <v>-54733.05</v>
      </c>
      <c r="G69" s="5">
        <f t="shared" si="9"/>
        <v>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37">
        <f t="shared" si="7"/>
        <v>54</v>
      </c>
      <c r="B70" s="6" t="s">
        <v>218</v>
      </c>
      <c r="C70" s="5">
        <v>0</v>
      </c>
      <c r="D70" s="5">
        <v>0</v>
      </c>
      <c r="E70" s="5">
        <f t="shared" si="8"/>
        <v>0</v>
      </c>
      <c r="F70" s="5">
        <f t="shared" si="8"/>
        <v>0</v>
      </c>
      <c r="G70" s="5">
        <f t="shared" si="9"/>
        <v>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37">
        <f t="shared" si="7"/>
        <v>55</v>
      </c>
      <c r="B71" s="6" t="s">
        <v>435</v>
      </c>
      <c r="C71" s="5">
        <v>184363</v>
      </c>
      <c r="D71" s="5">
        <v>216897.6</v>
      </c>
      <c r="E71" s="5">
        <f t="shared" si="8"/>
        <v>-184363</v>
      </c>
      <c r="F71" s="5">
        <f t="shared" si="8"/>
        <v>-216897.6</v>
      </c>
      <c r="G71" s="5">
        <f t="shared" si="9"/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37">
        <f t="shared" si="7"/>
        <v>56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3.5" thickBot="1">
      <c r="A73" s="37">
        <f t="shared" si="7"/>
        <v>57</v>
      </c>
      <c r="B73" s="6" t="s">
        <v>222</v>
      </c>
      <c r="C73" s="17">
        <f>SUM(C17:C72)</f>
        <v>34382679.25000001</v>
      </c>
      <c r="D73" s="17">
        <f>SUM(D17:D72)</f>
        <v>29149315.280000005</v>
      </c>
      <c r="E73" s="17">
        <f>SUM(E17:E72)</f>
        <v>-14422109.770000001</v>
      </c>
      <c r="F73" s="17">
        <f>SUM(F17:F72)</f>
        <v>-14727134.969999999</v>
      </c>
      <c r="G73" s="17">
        <f>SUM(G17:G72)</f>
        <v>17191376</v>
      </c>
      <c r="H73" s="17"/>
      <c r="I73" s="17">
        <f>SUM(I17:I72)</f>
        <v>12101310.359999998</v>
      </c>
      <c r="J73" s="17">
        <f>SUM(J17:J72)</f>
        <v>3459509.0299999993</v>
      </c>
      <c r="K73" s="17">
        <f>SUM(K17:K72)</f>
        <v>1630555.5050000013</v>
      </c>
      <c r="L73" s="17"/>
      <c r="M73" s="17">
        <f>SUM(M17:M72)</f>
        <v>13915794.08</v>
      </c>
      <c r="N73" s="17">
        <f>SUM(N17:N72)</f>
        <v>3727312.719999999</v>
      </c>
      <c r="O73" s="17">
        <f>SUM(O17:O72)</f>
        <v>2317462.680000001</v>
      </c>
      <c r="P73" s="5"/>
      <c r="Q73" s="17">
        <f>SUM(Q17:Q72)</f>
        <v>10286826.639999997</v>
      </c>
      <c r="R73" s="17">
        <f>SUM(R17:R72)</f>
        <v>3191705.3399999994</v>
      </c>
      <c r="S73" s="17">
        <f>SUM(S17:S72)</f>
        <v>943648.3299999996</v>
      </c>
      <c r="T73" s="5"/>
    </row>
    <row r="74" spans="1:20" ht="13.5" thickTop="1">
      <c r="A74" s="36"/>
      <c r="B74" s="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5"/>
      <c r="Q74" s="18"/>
      <c r="R74" s="18"/>
      <c r="S74" s="18"/>
      <c r="T74" s="5"/>
    </row>
    <row r="75" spans="1:20" ht="12.75">
      <c r="A75" s="3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3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36"/>
      <c r="B77" s="5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36"/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</sheetData>
  <sheetProtection/>
  <printOptions/>
  <pageMargins left="0.5" right="0.25" top="0.75" bottom="0.5" header="0.25" footer="0"/>
  <pageSetup fitToWidth="2" horizontalDpi="600" verticalDpi="600" orientation="landscape" scale="47" r:id="rId1"/>
  <headerFooter alignWithMargins="0">
    <oddHeader>&amp;RSTATEMENT AG-3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49"/>
  <sheetViews>
    <sheetView showOutlineSymbols="0" zoomScale="87" zoomScaleNormal="87" zoomScaleSheetLayoutView="75" workbookViewId="0" topLeftCell="D1">
      <selection activeCell="M75" sqref="M75:O75"/>
    </sheetView>
  </sheetViews>
  <sheetFormatPr defaultColWidth="12.7109375" defaultRowHeight="12.75"/>
  <cols>
    <col min="1" max="1" width="4.57421875" style="7" customWidth="1"/>
    <col min="2" max="2" width="50.57421875" style="2" customWidth="1"/>
    <col min="3" max="3" width="14.57421875" style="2" customWidth="1"/>
    <col min="4" max="4" width="14.28125" style="2" customWidth="1"/>
    <col min="5" max="5" width="14.421875" style="2" customWidth="1"/>
    <col min="6" max="6" width="17.00390625" style="2" customWidth="1"/>
    <col min="7" max="7" width="16.7109375" style="2" customWidth="1"/>
    <col min="8" max="8" width="3.8515625" style="2" customWidth="1"/>
    <col min="9" max="11" width="16.7109375" style="2" customWidth="1"/>
    <col min="12" max="12" width="4.140625" style="2" customWidth="1"/>
    <col min="13" max="13" width="14.00390625" style="2" customWidth="1"/>
    <col min="14" max="14" width="15.8515625" style="2" customWidth="1"/>
    <col min="15" max="15" width="15.140625" style="2" customWidth="1"/>
    <col min="16" max="16" width="2.57421875" style="2" customWidth="1"/>
    <col min="17" max="17" width="12.8515625" style="2" customWidth="1"/>
    <col min="18" max="18" width="15.140625" style="2" customWidth="1"/>
    <col min="19" max="19" width="16.8515625" style="2" customWidth="1"/>
    <col min="20" max="16384" width="12.7109375" style="2" customWidth="1"/>
  </cols>
  <sheetData>
    <row r="1" spans="2:19" ht="12.75">
      <c r="B1" s="20" t="s">
        <v>436</v>
      </c>
      <c r="G1" s="1"/>
      <c r="H1" s="1"/>
      <c r="I1" s="1"/>
      <c r="J1" s="1"/>
      <c r="K1" s="1"/>
      <c r="L1" s="1"/>
      <c r="S1" s="1"/>
    </row>
    <row r="2" spans="2:19" ht="12.75">
      <c r="B2" s="20" t="s">
        <v>0</v>
      </c>
      <c r="G2" s="1"/>
      <c r="H2" s="1"/>
      <c r="I2" s="1"/>
      <c r="J2" s="1"/>
      <c r="K2" s="1"/>
      <c r="L2" s="1"/>
      <c r="S2" s="1"/>
    </row>
    <row r="3" ht="12.75">
      <c r="B3" s="20" t="s">
        <v>127</v>
      </c>
    </row>
    <row r="4" spans="7:12" ht="12.75">
      <c r="G4" s="8" t="s">
        <v>1</v>
      </c>
      <c r="H4" s="8"/>
      <c r="I4" s="8"/>
      <c r="J4" s="8"/>
      <c r="K4" s="8"/>
      <c r="L4" s="8"/>
    </row>
    <row r="5" ht="12.75">
      <c r="B5" s="9"/>
    </row>
    <row r="8" spans="2:19" ht="12.7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/>
      <c r="I8" s="4" t="s">
        <v>8</v>
      </c>
      <c r="J8" s="4" t="s">
        <v>9</v>
      </c>
      <c r="K8" s="4" t="s">
        <v>10</v>
      </c>
      <c r="L8" s="4"/>
      <c r="M8" s="4" t="s">
        <v>11</v>
      </c>
      <c r="N8" s="4" t="s">
        <v>60</v>
      </c>
      <c r="O8" s="4" t="s">
        <v>61</v>
      </c>
      <c r="Q8" s="4" t="s">
        <v>62</v>
      </c>
      <c r="R8" s="4" t="s">
        <v>63</v>
      </c>
      <c r="S8" s="4" t="s">
        <v>64</v>
      </c>
    </row>
    <row r="10" spans="3:19" ht="12.75">
      <c r="C10" s="10" t="s">
        <v>12</v>
      </c>
      <c r="D10" s="10"/>
      <c r="E10" s="11" t="s">
        <v>13</v>
      </c>
      <c r="F10" s="10"/>
      <c r="G10" s="12" t="s">
        <v>14</v>
      </c>
      <c r="H10" s="12"/>
      <c r="I10" s="13" t="s">
        <v>66</v>
      </c>
      <c r="J10" s="10"/>
      <c r="K10" s="10"/>
      <c r="L10" s="12"/>
      <c r="M10" s="13" t="s">
        <v>129</v>
      </c>
      <c r="N10" s="10"/>
      <c r="O10" s="10"/>
      <c r="Q10" s="13" t="s">
        <v>123</v>
      </c>
      <c r="R10" s="10"/>
      <c r="S10" s="10"/>
    </row>
    <row r="11" spans="3:19" ht="12.7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3:12" ht="12.7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2:19" ht="12.75">
      <c r="B13" s="4" t="s">
        <v>18</v>
      </c>
      <c r="C13" s="4" t="s">
        <v>128</v>
      </c>
      <c r="D13" s="4" t="s">
        <v>122</v>
      </c>
      <c r="E13" s="4" t="s">
        <v>128</v>
      </c>
      <c r="F13" s="4" t="s">
        <v>122</v>
      </c>
      <c r="G13" s="4" t="s">
        <v>19</v>
      </c>
      <c r="H13" s="4"/>
      <c r="I13" s="4" t="s">
        <v>20</v>
      </c>
      <c r="J13" s="4" t="s">
        <v>21</v>
      </c>
      <c r="K13" s="4" t="s">
        <v>22</v>
      </c>
      <c r="L13" s="4"/>
      <c r="M13" s="4" t="s">
        <v>20</v>
      </c>
      <c r="N13" s="4" t="s">
        <v>21</v>
      </c>
      <c r="O13" s="4" t="s">
        <v>22</v>
      </c>
      <c r="Q13" s="4" t="s">
        <v>20</v>
      </c>
      <c r="R13" s="4" t="s">
        <v>21</v>
      </c>
      <c r="S13" s="4" t="s">
        <v>22</v>
      </c>
    </row>
    <row r="15" spans="2:19" ht="12.75">
      <c r="B15" s="3" t="s">
        <v>23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9" ht="12.75"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16">
        <v>1</v>
      </c>
      <c r="B17" s="1" t="s">
        <v>24</v>
      </c>
      <c r="C17" s="5">
        <f>SUM(M17:O17)</f>
        <v>0</v>
      </c>
      <c r="D17" s="5">
        <f>SUM(Q17:S17)</f>
        <v>0</v>
      </c>
      <c r="E17" s="5"/>
      <c r="F17" s="5"/>
      <c r="G17" s="5">
        <f>ROUND(SUM(C17:F17)/2,0)</f>
        <v>0</v>
      </c>
      <c r="H17" s="5"/>
      <c r="I17" s="5">
        <f aca="true" t="shared" si="0" ref="I17:K18">(+M17+Q17)/2</f>
        <v>0</v>
      </c>
      <c r="J17" s="5">
        <f t="shared" si="0"/>
        <v>0</v>
      </c>
      <c r="K17" s="5">
        <f t="shared" si="0"/>
        <v>0</v>
      </c>
      <c r="L17" s="5"/>
      <c r="M17" s="5">
        <v>0</v>
      </c>
      <c r="N17" s="5">
        <v>0</v>
      </c>
      <c r="O17" s="5">
        <v>0</v>
      </c>
      <c r="P17" s="5"/>
      <c r="Q17" s="5">
        <v>0</v>
      </c>
      <c r="R17" s="5">
        <v>0</v>
      </c>
      <c r="S17" s="5">
        <v>0</v>
      </c>
    </row>
    <row r="18" spans="1:19" ht="12.75">
      <c r="A18" s="16">
        <f aca="true" t="shared" si="1" ref="A18:A49">A17+1</f>
        <v>2</v>
      </c>
      <c r="B18" s="1"/>
      <c r="C18" s="5">
        <f>SUM(M18:O18)</f>
        <v>0</v>
      </c>
      <c r="D18" s="5">
        <f>SUM(Q18:S18)</f>
        <v>0</v>
      </c>
      <c r="E18" s="5"/>
      <c r="F18" s="5"/>
      <c r="G18" s="5">
        <f>ROUND(SUM(C18:F18)/2,0)</f>
        <v>0</v>
      </c>
      <c r="H18" s="5"/>
      <c r="I18" s="5">
        <f t="shared" si="0"/>
        <v>0</v>
      </c>
      <c r="J18" s="5">
        <f t="shared" si="0"/>
        <v>0</v>
      </c>
      <c r="K18" s="5">
        <f t="shared" si="0"/>
        <v>0</v>
      </c>
      <c r="L18" s="5"/>
      <c r="M18" s="5">
        <v>0</v>
      </c>
      <c r="N18" s="5">
        <v>0</v>
      </c>
      <c r="O18" s="5">
        <v>0</v>
      </c>
      <c r="P18" s="5"/>
      <c r="Q18" s="5">
        <v>0</v>
      </c>
      <c r="R18" s="5">
        <v>0</v>
      </c>
      <c r="S18" s="5">
        <v>0</v>
      </c>
    </row>
    <row r="19" spans="1:19" ht="12.75">
      <c r="A19" s="16">
        <f t="shared" si="1"/>
        <v>3</v>
      </c>
      <c r="B19" s="1" t="s">
        <v>25</v>
      </c>
      <c r="C19" s="5">
        <v>0</v>
      </c>
      <c r="D19" s="5">
        <v>0</v>
      </c>
      <c r="E19" s="5">
        <f aca="true" t="shared" si="2" ref="E19:F21">-C19</f>
        <v>0</v>
      </c>
      <c r="F19" s="5">
        <f t="shared" si="2"/>
        <v>0</v>
      </c>
      <c r="G19" s="5">
        <f>ROUND(SUM(C19:F19)/2,0)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16">
        <f t="shared" si="1"/>
        <v>4</v>
      </c>
      <c r="B20" s="1" t="s">
        <v>26</v>
      </c>
      <c r="C20" s="5">
        <v>0</v>
      </c>
      <c r="D20" s="5">
        <v>0</v>
      </c>
      <c r="E20" s="5">
        <f t="shared" si="2"/>
        <v>0</v>
      </c>
      <c r="F20" s="5">
        <f t="shared" si="2"/>
        <v>0</v>
      </c>
      <c r="G20" s="5">
        <f>ROUND(SUM(C20:F20)/2,0)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16">
        <f t="shared" si="1"/>
        <v>5</v>
      </c>
      <c r="B21" s="1" t="s">
        <v>27</v>
      </c>
      <c r="C21" s="5">
        <v>0</v>
      </c>
      <c r="D21" s="5">
        <v>0</v>
      </c>
      <c r="E21" s="5">
        <f t="shared" si="2"/>
        <v>0</v>
      </c>
      <c r="F21" s="5">
        <f t="shared" si="2"/>
        <v>0</v>
      </c>
      <c r="G21" s="5">
        <f>ROUND(SUM(C21:F21)/2,0)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16">
        <f t="shared" si="1"/>
        <v>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3.5" thickBot="1">
      <c r="A23" s="16">
        <f t="shared" si="1"/>
        <v>7</v>
      </c>
      <c r="B23" s="3" t="s">
        <v>28</v>
      </c>
      <c r="C23" s="17">
        <f>SUM(C17:C22)</f>
        <v>0</v>
      </c>
      <c r="D23" s="17">
        <f>SUM(D17:D22)</f>
        <v>0</v>
      </c>
      <c r="E23" s="17">
        <f>SUM(E17:E22)</f>
        <v>0</v>
      </c>
      <c r="F23" s="17">
        <f>SUM(F17:F22)</f>
        <v>0</v>
      </c>
      <c r="G23" s="17">
        <f>SUM(G17:G22)</f>
        <v>0</v>
      </c>
      <c r="H23" s="17"/>
      <c r="I23" s="17">
        <f>SUM(I17:I22)</f>
        <v>0</v>
      </c>
      <c r="J23" s="17">
        <f>SUM(J17:J22)</f>
        <v>0</v>
      </c>
      <c r="K23" s="17">
        <f>SUM(K17:K22)</f>
        <v>0</v>
      </c>
      <c r="L23" s="17"/>
      <c r="M23" s="17">
        <f>SUM(M17:M22)</f>
        <v>0</v>
      </c>
      <c r="N23" s="17">
        <f>SUM(N17:N22)</f>
        <v>0</v>
      </c>
      <c r="O23" s="17">
        <f>SUM(O17:O22)</f>
        <v>0</v>
      </c>
      <c r="P23" s="5"/>
      <c r="Q23" s="17">
        <f>SUM(Q17:Q22)</f>
        <v>0</v>
      </c>
      <c r="R23" s="17">
        <f>SUM(R17:R22)</f>
        <v>0</v>
      </c>
      <c r="S23" s="17">
        <f>SUM(S17:S22)</f>
        <v>0</v>
      </c>
    </row>
    <row r="24" spans="1:19" ht="13.5" thickTop="1">
      <c r="A24" s="16">
        <f t="shared" si="1"/>
        <v>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5"/>
      <c r="Q24" s="18"/>
      <c r="R24" s="18"/>
      <c r="S24" s="18"/>
    </row>
    <row r="25" spans="1:19" ht="12.75">
      <c r="A25" s="16">
        <f t="shared" si="1"/>
        <v>9</v>
      </c>
      <c r="B25" s="1" t="s">
        <v>29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16">
        <f t="shared" si="1"/>
        <v>10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16">
        <f t="shared" si="1"/>
        <v>11</v>
      </c>
      <c r="B27" s="3" t="s">
        <v>437</v>
      </c>
      <c r="C27" s="5">
        <f aca="true" t="shared" si="3" ref="C27:C35">SUM(M27:O27)</f>
        <v>13261344</v>
      </c>
      <c r="D27" s="5">
        <f aca="true" t="shared" si="4" ref="D27:D35">SUM(Q27:S27)</f>
        <v>10697815.95</v>
      </c>
      <c r="E27" s="5"/>
      <c r="F27" s="5"/>
      <c r="G27" s="5">
        <f aca="true" t="shared" si="5" ref="G27:G38">ROUND(SUM(C27:F27)/2,0)</f>
        <v>11979580</v>
      </c>
      <c r="H27" s="5"/>
      <c r="I27" s="5">
        <f aca="true" t="shared" si="6" ref="I27:I35">(+M27+Q27)/2</f>
        <v>0</v>
      </c>
      <c r="J27" s="5">
        <f aca="true" t="shared" si="7" ref="J27:J35">(+N27+R27)/2</f>
        <v>2290218.125</v>
      </c>
      <c r="K27" s="5">
        <f aca="true" t="shared" si="8" ref="K27:K35">(+O27+S27)/2</f>
        <v>9689361.85</v>
      </c>
      <c r="L27" s="5"/>
      <c r="M27" s="5">
        <v>0</v>
      </c>
      <c r="N27" s="5">
        <f>2496621.65+8825</f>
        <v>2505446.65</v>
      </c>
      <c r="O27" s="5">
        <f>10751622.35+4275</f>
        <v>10755897.35</v>
      </c>
      <c r="P27" s="5"/>
      <c r="Q27" s="5">
        <v>0</v>
      </c>
      <c r="R27" s="5">
        <f>2065315.6+9674</f>
        <v>2074989.6</v>
      </c>
      <c r="S27" s="5">
        <f>8615873.35+6953</f>
        <v>8622826.35</v>
      </c>
    </row>
    <row r="28" spans="1:19" ht="12.75">
      <c r="A28" s="16">
        <f t="shared" si="1"/>
        <v>12</v>
      </c>
      <c r="B28" s="3" t="s">
        <v>31</v>
      </c>
      <c r="C28" s="5">
        <f t="shared" si="3"/>
        <v>0</v>
      </c>
      <c r="D28" s="5">
        <f t="shared" si="4"/>
        <v>0</v>
      </c>
      <c r="E28" s="5"/>
      <c r="F28" s="5"/>
      <c r="G28" s="5">
        <f t="shared" si="5"/>
        <v>0</v>
      </c>
      <c r="H28" s="5"/>
      <c r="I28" s="5">
        <f t="shared" si="6"/>
        <v>0</v>
      </c>
      <c r="J28" s="5">
        <f t="shared" si="7"/>
        <v>0</v>
      </c>
      <c r="K28" s="5">
        <f t="shared" si="8"/>
        <v>0</v>
      </c>
      <c r="L28" s="5"/>
      <c r="M28" s="5">
        <v>0</v>
      </c>
      <c r="N28" s="5">
        <v>0</v>
      </c>
      <c r="O28" s="5">
        <v>0</v>
      </c>
      <c r="P28" s="5"/>
      <c r="Q28" s="5">
        <v>0</v>
      </c>
      <c r="R28" s="5">
        <v>0</v>
      </c>
      <c r="S28" s="5">
        <v>0</v>
      </c>
    </row>
    <row r="29" spans="1:19" ht="12.75">
      <c r="A29" s="16">
        <f t="shared" si="1"/>
        <v>13</v>
      </c>
      <c r="B29" s="3" t="s">
        <v>438</v>
      </c>
      <c r="C29" s="5">
        <f t="shared" si="3"/>
        <v>-2471</v>
      </c>
      <c r="D29" s="5">
        <f t="shared" si="4"/>
        <v>-2734.55</v>
      </c>
      <c r="E29" s="5"/>
      <c r="F29" s="5"/>
      <c r="G29" s="5">
        <f t="shared" si="5"/>
        <v>-2603</v>
      </c>
      <c r="H29" s="5"/>
      <c r="I29" s="5">
        <f t="shared" si="6"/>
        <v>0</v>
      </c>
      <c r="J29" s="5">
        <f t="shared" si="7"/>
        <v>-3520.825</v>
      </c>
      <c r="K29" s="5">
        <f t="shared" si="8"/>
        <v>918.05</v>
      </c>
      <c r="L29" s="5"/>
      <c r="M29" s="5">
        <v>0</v>
      </c>
      <c r="N29" s="5">
        <v>-3342.5</v>
      </c>
      <c r="O29" s="5">
        <v>871.5</v>
      </c>
      <c r="P29" s="5"/>
      <c r="Q29" s="5">
        <v>0</v>
      </c>
      <c r="R29" s="5">
        <v>-3699.15</v>
      </c>
      <c r="S29" s="5">
        <v>964.6</v>
      </c>
    </row>
    <row r="30" spans="1:19" ht="12.75">
      <c r="A30" s="16">
        <f t="shared" si="1"/>
        <v>14</v>
      </c>
      <c r="B30" s="3" t="s">
        <v>439</v>
      </c>
      <c r="C30" s="5">
        <f t="shared" si="3"/>
        <v>11617.2</v>
      </c>
      <c r="D30" s="5">
        <f t="shared" si="4"/>
        <v>12813.85</v>
      </c>
      <c r="E30" s="5"/>
      <c r="F30" s="5"/>
      <c r="G30" s="5">
        <f t="shared" si="5"/>
        <v>12216</v>
      </c>
      <c r="H30" s="5"/>
      <c r="I30" s="5">
        <f t="shared" si="6"/>
        <v>0</v>
      </c>
      <c r="J30" s="5">
        <f t="shared" si="7"/>
        <v>0</v>
      </c>
      <c r="K30" s="5">
        <f t="shared" si="8"/>
        <v>12215.525000000001</v>
      </c>
      <c r="L30" s="5"/>
      <c r="M30" s="5">
        <v>0</v>
      </c>
      <c r="N30" s="5">
        <v>0</v>
      </c>
      <c r="O30" s="5">
        <v>11617.2</v>
      </c>
      <c r="P30" s="5"/>
      <c r="Q30" s="5">
        <v>0</v>
      </c>
      <c r="R30" s="5">
        <v>0</v>
      </c>
      <c r="S30" s="5">
        <v>12813.85</v>
      </c>
    </row>
    <row r="31" spans="1:19" ht="12.75">
      <c r="A31" s="16">
        <f t="shared" si="1"/>
        <v>15</v>
      </c>
      <c r="B31" s="3" t="s">
        <v>107</v>
      </c>
      <c r="C31" s="5">
        <f t="shared" si="3"/>
        <v>1393141.65</v>
      </c>
      <c r="D31" s="5">
        <f t="shared" si="4"/>
        <v>1348599.65</v>
      </c>
      <c r="E31" s="5"/>
      <c r="F31" s="5"/>
      <c r="G31" s="5">
        <f t="shared" si="5"/>
        <v>1370871</v>
      </c>
      <c r="H31" s="5"/>
      <c r="I31" s="5">
        <f t="shared" si="6"/>
        <v>0</v>
      </c>
      <c r="J31" s="5">
        <f t="shared" si="7"/>
        <v>67052.975</v>
      </c>
      <c r="K31" s="5">
        <f t="shared" si="8"/>
        <v>1303817.6749999998</v>
      </c>
      <c r="L31" s="5"/>
      <c r="M31" s="5">
        <v>0</v>
      </c>
      <c r="N31" s="5">
        <f>120166-43971</f>
        <v>76195</v>
      </c>
      <c r="O31" s="5">
        <f>1792235.65-475289</f>
        <v>1316946.65</v>
      </c>
      <c r="P31" s="5"/>
      <c r="Q31" s="5">
        <v>0</v>
      </c>
      <c r="R31" s="5">
        <f>97498.95-39588</f>
        <v>57910.95</v>
      </c>
      <c r="S31" s="5">
        <f>1704778.7-414090</f>
        <v>1290688.7</v>
      </c>
    </row>
    <row r="32" spans="1:19" ht="12.75">
      <c r="A32" s="16">
        <f t="shared" si="1"/>
        <v>16</v>
      </c>
      <c r="B32" s="1" t="s">
        <v>34</v>
      </c>
      <c r="C32" s="5">
        <f t="shared" si="3"/>
        <v>1444.6499999999999</v>
      </c>
      <c r="D32" s="5">
        <f t="shared" si="4"/>
        <v>2391.05</v>
      </c>
      <c r="E32" s="5"/>
      <c r="F32" s="5"/>
      <c r="G32" s="5">
        <f t="shared" si="5"/>
        <v>1918</v>
      </c>
      <c r="H32" s="5"/>
      <c r="I32" s="5">
        <f t="shared" si="6"/>
        <v>0</v>
      </c>
      <c r="J32" s="5">
        <f t="shared" si="7"/>
        <v>314.925</v>
      </c>
      <c r="K32" s="5">
        <f t="shared" si="8"/>
        <v>1602.925</v>
      </c>
      <c r="L32" s="5"/>
      <c r="M32" s="5">
        <v>0</v>
      </c>
      <c r="N32" s="5">
        <v>240.55</v>
      </c>
      <c r="O32" s="5">
        <v>1204.1</v>
      </c>
      <c r="P32" s="5"/>
      <c r="Q32" s="5">
        <v>0</v>
      </c>
      <c r="R32" s="5">
        <v>389.3</v>
      </c>
      <c r="S32" s="5">
        <v>2001.75</v>
      </c>
    </row>
    <row r="33" spans="1:19" ht="12.75">
      <c r="A33" s="16">
        <f t="shared" si="1"/>
        <v>17</v>
      </c>
      <c r="B33" s="1" t="s">
        <v>36</v>
      </c>
      <c r="C33" s="5">
        <f t="shared" si="3"/>
        <v>447989.05</v>
      </c>
      <c r="D33" s="5">
        <f t="shared" si="4"/>
        <v>523823.05</v>
      </c>
      <c r="E33" s="5"/>
      <c r="F33" s="5"/>
      <c r="G33" s="5">
        <f t="shared" si="5"/>
        <v>485906</v>
      </c>
      <c r="H33" s="5"/>
      <c r="I33" s="5">
        <f t="shared" si="6"/>
        <v>0</v>
      </c>
      <c r="J33" s="5">
        <f t="shared" si="7"/>
        <v>29618.550000000003</v>
      </c>
      <c r="K33" s="5">
        <f t="shared" si="8"/>
        <v>456287.5</v>
      </c>
      <c r="L33" s="5"/>
      <c r="M33" s="5">
        <v>0</v>
      </c>
      <c r="N33" s="5">
        <f>109056.55-81256</f>
        <v>27800.550000000003</v>
      </c>
      <c r="O33" s="5">
        <f>1136163.5-715975</f>
        <v>420188.5</v>
      </c>
      <c r="P33" s="5"/>
      <c r="Q33" s="5">
        <v>0</v>
      </c>
      <c r="R33" s="5">
        <f>109056.55-77620</f>
        <v>31436.550000000003</v>
      </c>
      <c r="S33" s="5">
        <f>1171023.5-678637</f>
        <v>492386.5</v>
      </c>
    </row>
    <row r="34" spans="1:19" ht="12.75">
      <c r="A34" s="16">
        <f t="shared" si="1"/>
        <v>18</v>
      </c>
      <c r="B34" s="3" t="s">
        <v>90</v>
      </c>
      <c r="C34" s="5">
        <f t="shared" si="3"/>
        <v>82999.15</v>
      </c>
      <c r="D34" s="5">
        <f t="shared" si="4"/>
        <v>-115644.70000000001</v>
      </c>
      <c r="E34" s="5"/>
      <c r="F34" s="5"/>
      <c r="G34" s="5">
        <f t="shared" si="5"/>
        <v>-16323</v>
      </c>
      <c r="H34" s="5"/>
      <c r="I34" s="5">
        <f t="shared" si="6"/>
        <v>0</v>
      </c>
      <c r="J34" s="5">
        <f t="shared" si="7"/>
        <v>-79064.875</v>
      </c>
      <c r="K34" s="5">
        <f t="shared" si="8"/>
        <v>62742.1</v>
      </c>
      <c r="L34" s="5"/>
      <c r="M34" s="5">
        <v>0</v>
      </c>
      <c r="N34" s="5">
        <f>-33762.05+11958</f>
        <v>-21804.050000000003</v>
      </c>
      <c r="O34" s="5">
        <f>109883.2-5080</f>
        <v>104803.2</v>
      </c>
      <c r="P34" s="5"/>
      <c r="Q34" s="5">
        <v>0</v>
      </c>
      <c r="R34" s="5">
        <f>-143500.7+7175</f>
        <v>-136325.7</v>
      </c>
      <c r="S34" s="5">
        <f>21770-1089</f>
        <v>20681</v>
      </c>
    </row>
    <row r="35" spans="1:19" ht="12.75">
      <c r="A35" s="16">
        <f t="shared" si="1"/>
        <v>19</v>
      </c>
      <c r="B35" s="3" t="s">
        <v>112</v>
      </c>
      <c r="C35" s="5">
        <f t="shared" si="3"/>
        <v>-3661.7</v>
      </c>
      <c r="D35" s="5">
        <f t="shared" si="4"/>
        <v>-3661.7</v>
      </c>
      <c r="E35" s="5"/>
      <c r="F35" s="5"/>
      <c r="G35" s="5">
        <f t="shared" si="5"/>
        <v>-3662</v>
      </c>
      <c r="H35" s="5"/>
      <c r="I35" s="5">
        <f t="shared" si="6"/>
        <v>0</v>
      </c>
      <c r="J35" s="5">
        <f t="shared" si="7"/>
        <v>81.9</v>
      </c>
      <c r="K35" s="5">
        <f t="shared" si="8"/>
        <v>-3743.6</v>
      </c>
      <c r="L35" s="5"/>
      <c r="M35" s="5">
        <v>0</v>
      </c>
      <c r="N35" s="5">
        <v>81.9</v>
      </c>
      <c r="O35" s="5">
        <v>-3743.6</v>
      </c>
      <c r="P35" s="5"/>
      <c r="Q35" s="5">
        <v>0</v>
      </c>
      <c r="R35" s="5">
        <v>81.9</v>
      </c>
      <c r="S35" s="5">
        <v>-3743.6</v>
      </c>
    </row>
    <row r="36" spans="1:19" ht="12.75">
      <c r="A36" s="16">
        <f t="shared" si="1"/>
        <v>20</v>
      </c>
      <c r="B36" s="1" t="s">
        <v>25</v>
      </c>
      <c r="C36" s="5">
        <v>258.15</v>
      </c>
      <c r="D36" s="5">
        <v>258.15</v>
      </c>
      <c r="E36" s="5">
        <f aca="true" t="shared" si="9" ref="E36:F38">-C36</f>
        <v>-258.15</v>
      </c>
      <c r="F36" s="5">
        <f t="shared" si="9"/>
        <v>-258.15</v>
      </c>
      <c r="G36" s="5">
        <f t="shared" si="5"/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2.75">
      <c r="A37" s="16">
        <f t="shared" si="1"/>
        <v>21</v>
      </c>
      <c r="B37" s="1" t="s">
        <v>38</v>
      </c>
      <c r="C37" s="5">
        <v>2151914.06</v>
      </c>
      <c r="D37" s="5">
        <f>2131628.41-13259.18</f>
        <v>2118369.23</v>
      </c>
      <c r="E37" s="5">
        <f t="shared" si="9"/>
        <v>-2151914.06</v>
      </c>
      <c r="F37" s="5">
        <f t="shared" si="9"/>
        <v>-2118369.23</v>
      </c>
      <c r="G37" s="5">
        <f t="shared" si="5"/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16">
        <f t="shared" si="1"/>
        <v>22</v>
      </c>
      <c r="B38" s="1" t="s">
        <v>39</v>
      </c>
      <c r="C38" s="5">
        <v>-13100</v>
      </c>
      <c r="D38" s="5">
        <f>-6953-9674</f>
        <v>-16627</v>
      </c>
      <c r="E38" s="5">
        <f t="shared" si="9"/>
        <v>13100</v>
      </c>
      <c r="F38" s="5">
        <f t="shared" si="9"/>
        <v>16627</v>
      </c>
      <c r="G38" s="5">
        <f t="shared" si="5"/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16">
        <f t="shared" si="1"/>
        <v>23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3.5" thickBot="1">
      <c r="A40" s="16">
        <f t="shared" si="1"/>
        <v>24</v>
      </c>
      <c r="B40" s="1" t="s">
        <v>40</v>
      </c>
      <c r="C40" s="17">
        <f>SUM(C27:C39)</f>
        <v>17331475.21</v>
      </c>
      <c r="D40" s="17">
        <f>SUM(D27:D39)</f>
        <v>14565402.980000002</v>
      </c>
      <c r="E40" s="17">
        <f>SUM(E27:E39)</f>
        <v>-2139072.21</v>
      </c>
      <c r="F40" s="17">
        <f>SUM(F27:F39)</f>
        <v>-2102000.38</v>
      </c>
      <c r="G40" s="17">
        <f>SUM(G27:G39)</f>
        <v>13827903</v>
      </c>
      <c r="H40" s="17"/>
      <c r="I40" s="17">
        <f>SUM(I27:I39)</f>
        <v>0</v>
      </c>
      <c r="J40" s="17">
        <f>SUM(J27:J39)</f>
        <v>2304700.7749999994</v>
      </c>
      <c r="K40" s="17">
        <f>SUM(K27:K39)</f>
        <v>11523202.025000002</v>
      </c>
      <c r="L40" s="17"/>
      <c r="M40" s="17">
        <f>SUM(M27:M39)</f>
        <v>0</v>
      </c>
      <c r="N40" s="17">
        <f>SUM(N27:N39)</f>
        <v>2584618.0999999996</v>
      </c>
      <c r="O40" s="17">
        <f>SUM(O27:O39)</f>
        <v>12607784.899999999</v>
      </c>
      <c r="P40" s="5"/>
      <c r="Q40" s="17">
        <f>SUM(Q27:Q39)</f>
        <v>0</v>
      </c>
      <c r="R40" s="17">
        <f>SUM(R27:R39)</f>
        <v>2024783.45</v>
      </c>
      <c r="S40" s="17">
        <f>SUM(S27:S39)</f>
        <v>10438619.149999999</v>
      </c>
    </row>
    <row r="41" spans="1:19" ht="13.5" thickTop="1">
      <c r="A41" s="16">
        <f t="shared" si="1"/>
        <v>25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5"/>
      <c r="Q41" s="18"/>
      <c r="R41" s="18"/>
      <c r="S41" s="18"/>
    </row>
    <row r="42" spans="1:19" ht="12.75">
      <c r="A42" s="16">
        <f t="shared" si="1"/>
        <v>26</v>
      </c>
      <c r="B42" s="3" t="s">
        <v>65</v>
      </c>
      <c r="C42" s="5" t="s">
        <v>24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16">
        <f t="shared" si="1"/>
        <v>27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16">
        <f t="shared" si="1"/>
        <v>28</v>
      </c>
      <c r="B44" s="3" t="s">
        <v>93</v>
      </c>
      <c r="C44" s="5">
        <f aca="true" t="shared" si="10" ref="C44:C50">SUM(M44:O44)</f>
        <v>-2964647.3499999996</v>
      </c>
      <c r="D44" s="5">
        <f aca="true" t="shared" si="11" ref="D44:D50">SUM(Q44:S44)</f>
        <v>-2828256.2</v>
      </c>
      <c r="E44" s="5"/>
      <c r="F44" s="5"/>
      <c r="G44" s="5">
        <f aca="true" t="shared" si="12" ref="G44:G54">ROUND(SUM(C44:F44)/2,0)</f>
        <v>-2896452</v>
      </c>
      <c r="H44" s="5"/>
      <c r="I44" s="5">
        <f aca="true" t="shared" si="13" ref="I44:K50">(+M44+Q44)/2</f>
        <v>0</v>
      </c>
      <c r="J44" s="5">
        <f t="shared" si="13"/>
        <v>-576370.55</v>
      </c>
      <c r="K44" s="5">
        <f t="shared" si="13"/>
        <v>-2320081.2249999996</v>
      </c>
      <c r="L44" s="5"/>
      <c r="M44" s="5">
        <v>0</v>
      </c>
      <c r="N44" s="5">
        <v>-607228.3</v>
      </c>
      <c r="O44" s="5">
        <v>-2357419.05</v>
      </c>
      <c r="P44" s="5"/>
      <c r="Q44" s="5">
        <v>0</v>
      </c>
      <c r="R44" s="5">
        <v>-545512.8</v>
      </c>
      <c r="S44" s="5">
        <v>-2282743.4</v>
      </c>
    </row>
    <row r="45" spans="1:19" ht="12.75">
      <c r="A45" s="16">
        <f t="shared" si="1"/>
        <v>29</v>
      </c>
      <c r="B45" s="3" t="s">
        <v>425</v>
      </c>
      <c r="C45" s="5">
        <f t="shared" si="10"/>
        <v>570273.2</v>
      </c>
      <c r="D45" s="5">
        <f t="shared" si="11"/>
        <v>-570273.2</v>
      </c>
      <c r="E45" s="5"/>
      <c r="F45" s="5"/>
      <c r="G45" s="5">
        <f t="shared" si="12"/>
        <v>0</v>
      </c>
      <c r="H45" s="5"/>
      <c r="I45" s="5">
        <f t="shared" si="13"/>
        <v>0</v>
      </c>
      <c r="J45" s="5">
        <f t="shared" si="13"/>
        <v>0</v>
      </c>
      <c r="K45" s="5">
        <f t="shared" si="13"/>
        <v>0</v>
      </c>
      <c r="L45" s="5"/>
      <c r="M45" s="5">
        <v>0</v>
      </c>
      <c r="N45" s="5">
        <v>0</v>
      </c>
      <c r="O45" s="5">
        <v>570273.2</v>
      </c>
      <c r="P45" s="5"/>
      <c r="Q45" s="5">
        <v>0</v>
      </c>
      <c r="R45" s="5">
        <v>0</v>
      </c>
      <c r="S45" s="5">
        <v>-570273.2</v>
      </c>
    </row>
    <row r="46" spans="1:19" ht="12.75">
      <c r="A46" s="16">
        <f t="shared" si="1"/>
        <v>30</v>
      </c>
      <c r="B46" s="1" t="s">
        <v>440</v>
      </c>
      <c r="C46" s="5">
        <f t="shared" si="10"/>
        <v>2084.36</v>
      </c>
      <c r="D46" s="5">
        <f t="shared" si="11"/>
        <v>2084.11</v>
      </c>
      <c r="E46" s="5"/>
      <c r="F46" s="5"/>
      <c r="G46" s="5">
        <f t="shared" si="12"/>
        <v>2084</v>
      </c>
      <c r="H46" s="5"/>
      <c r="I46" s="5">
        <f t="shared" si="13"/>
        <v>0</v>
      </c>
      <c r="J46" s="5">
        <f t="shared" si="13"/>
        <v>2084.36</v>
      </c>
      <c r="K46" s="5">
        <f t="shared" si="13"/>
        <v>-0.125</v>
      </c>
      <c r="L46" s="5"/>
      <c r="M46" s="5">
        <v>0</v>
      </c>
      <c r="N46" s="5">
        <v>2084.36</v>
      </c>
      <c r="O46" s="5">
        <v>0</v>
      </c>
      <c r="P46" s="5"/>
      <c r="Q46" s="5">
        <v>0</v>
      </c>
      <c r="R46" s="5">
        <v>2084.36</v>
      </c>
      <c r="S46" s="5">
        <v>-0.25</v>
      </c>
    </row>
    <row r="47" spans="1:19" ht="12.75">
      <c r="A47" s="16">
        <f t="shared" si="1"/>
        <v>31</v>
      </c>
      <c r="B47" s="3" t="s">
        <v>97</v>
      </c>
      <c r="C47" s="5">
        <f t="shared" si="10"/>
        <v>2964647.3499999996</v>
      </c>
      <c r="D47" s="5">
        <f t="shared" si="11"/>
        <v>2828256.2</v>
      </c>
      <c r="E47" s="5"/>
      <c r="F47" s="5"/>
      <c r="G47" s="5">
        <f t="shared" si="12"/>
        <v>2896452</v>
      </c>
      <c r="H47" s="5"/>
      <c r="I47" s="5">
        <f t="shared" si="13"/>
        <v>0</v>
      </c>
      <c r="J47" s="5">
        <f t="shared" si="13"/>
        <v>576370.55</v>
      </c>
      <c r="K47" s="5">
        <f t="shared" si="13"/>
        <v>2320081.2249999996</v>
      </c>
      <c r="L47" s="5"/>
      <c r="M47" s="5">
        <v>0</v>
      </c>
      <c r="N47" s="5">
        <v>607228.3</v>
      </c>
      <c r="O47" s="5">
        <v>2357419.05</v>
      </c>
      <c r="P47" s="5"/>
      <c r="Q47" s="5">
        <v>0</v>
      </c>
      <c r="R47" s="5">
        <v>545512.8</v>
      </c>
      <c r="S47" s="5">
        <v>2282743.4</v>
      </c>
    </row>
    <row r="48" spans="1:19" ht="12.75">
      <c r="A48" s="16">
        <f t="shared" si="1"/>
        <v>32</v>
      </c>
      <c r="B48" s="3" t="s">
        <v>441</v>
      </c>
      <c r="C48" s="5">
        <f t="shared" si="10"/>
        <v>893263.7000000001</v>
      </c>
      <c r="D48" s="5">
        <f t="shared" si="11"/>
        <v>739824.05</v>
      </c>
      <c r="E48" s="5"/>
      <c r="F48" s="5"/>
      <c r="G48" s="5">
        <f t="shared" si="12"/>
        <v>816544</v>
      </c>
      <c r="H48" s="5"/>
      <c r="I48" s="5">
        <f t="shared" si="13"/>
        <v>0</v>
      </c>
      <c r="J48" s="5">
        <f t="shared" si="13"/>
        <v>131161.275</v>
      </c>
      <c r="K48" s="5">
        <f t="shared" si="13"/>
        <v>685382.6000000001</v>
      </c>
      <c r="L48" s="5"/>
      <c r="M48" s="5">
        <v>0</v>
      </c>
      <c r="N48" s="5">
        <v>146236.65</v>
      </c>
      <c r="O48" s="5">
        <v>747027.05</v>
      </c>
      <c r="P48" s="5"/>
      <c r="Q48" s="5">
        <v>0</v>
      </c>
      <c r="R48" s="5">
        <v>116085.9</v>
      </c>
      <c r="S48" s="5">
        <v>623738.15</v>
      </c>
    </row>
    <row r="49" spans="1:19" ht="12.75">
      <c r="A49" s="16">
        <f t="shared" si="1"/>
        <v>33</v>
      </c>
      <c r="B49" s="1" t="s">
        <v>302</v>
      </c>
      <c r="C49" s="5">
        <f t="shared" si="10"/>
        <v>87600.24</v>
      </c>
      <c r="D49" s="5">
        <f t="shared" si="11"/>
        <v>98611.23999999999</v>
      </c>
      <c r="E49" s="5"/>
      <c r="F49" s="5"/>
      <c r="G49" s="5">
        <f t="shared" si="12"/>
        <v>93106</v>
      </c>
      <c r="H49" s="5"/>
      <c r="I49" s="5">
        <f t="shared" si="13"/>
        <v>0</v>
      </c>
      <c r="J49" s="5">
        <f t="shared" si="13"/>
        <v>8565.224999999999</v>
      </c>
      <c r="K49" s="5">
        <f t="shared" si="13"/>
        <v>84540.515</v>
      </c>
      <c r="L49" s="5"/>
      <c r="M49" s="5">
        <v>0</v>
      </c>
      <c r="N49" s="5">
        <v>8542.3</v>
      </c>
      <c r="O49" s="5">
        <v>79057.94</v>
      </c>
      <c r="P49" s="5"/>
      <c r="Q49" s="5">
        <v>0</v>
      </c>
      <c r="R49" s="5">
        <v>8588.15</v>
      </c>
      <c r="S49" s="5">
        <v>90023.09</v>
      </c>
    </row>
    <row r="50" spans="1:19" ht="12.75">
      <c r="A50" s="16">
        <f aca="true" t="shared" si="14" ref="A50:A75">A49+1</f>
        <v>34</v>
      </c>
      <c r="B50" s="1" t="s">
        <v>45</v>
      </c>
      <c r="C50" s="5">
        <f t="shared" si="10"/>
        <v>250469.28</v>
      </c>
      <c r="D50" s="5">
        <f t="shared" si="11"/>
        <v>216374.06</v>
      </c>
      <c r="E50" s="5"/>
      <c r="F50" s="5"/>
      <c r="G50" s="5">
        <f t="shared" si="12"/>
        <v>233422</v>
      </c>
      <c r="H50" s="5"/>
      <c r="I50" s="5">
        <f t="shared" si="13"/>
        <v>0</v>
      </c>
      <c r="J50" s="5">
        <f t="shared" si="13"/>
        <v>59796.1</v>
      </c>
      <c r="K50" s="5">
        <f t="shared" si="13"/>
        <v>173625.57</v>
      </c>
      <c r="L50" s="5"/>
      <c r="M50" s="5">
        <v>0</v>
      </c>
      <c r="N50" s="5">
        <f>90620.63-0.1</f>
        <v>90620.53</v>
      </c>
      <c r="O50" s="5">
        <f>159849-0.25</f>
        <v>159848.75</v>
      </c>
      <c r="P50" s="5"/>
      <c r="Q50" s="5">
        <v>0</v>
      </c>
      <c r="R50" s="5">
        <v>28971.67</v>
      </c>
      <c r="S50" s="5">
        <v>187402.39</v>
      </c>
    </row>
    <row r="51" spans="1:19" ht="12.75">
      <c r="A51" s="16">
        <f t="shared" si="14"/>
        <v>35</v>
      </c>
      <c r="B51" s="1" t="s">
        <v>25</v>
      </c>
      <c r="C51" s="5">
        <v>0</v>
      </c>
      <c r="D51" s="5">
        <v>0</v>
      </c>
      <c r="E51" s="5">
        <f aca="true" t="shared" si="15" ref="E51:F54">-C51</f>
        <v>0</v>
      </c>
      <c r="F51" s="5">
        <f t="shared" si="15"/>
        <v>0</v>
      </c>
      <c r="G51" s="5">
        <f t="shared" si="12"/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16">
        <f t="shared" si="14"/>
        <v>36</v>
      </c>
      <c r="B52" s="1" t="s">
        <v>46</v>
      </c>
      <c r="C52" s="5">
        <v>2234578.85</v>
      </c>
      <c r="D52" s="5">
        <f>1818682+114890.07</f>
        <v>1933572.07</v>
      </c>
      <c r="E52" s="5">
        <f t="shared" si="15"/>
        <v>-2234578.85</v>
      </c>
      <c r="F52" s="5">
        <f t="shared" si="15"/>
        <v>-1933572.07</v>
      </c>
      <c r="G52" s="5">
        <f t="shared" si="12"/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16">
        <f t="shared" si="14"/>
        <v>37</v>
      </c>
      <c r="B53" s="1" t="s">
        <v>47</v>
      </c>
      <c r="C53" s="5">
        <v>0</v>
      </c>
      <c r="D53" s="5">
        <v>0</v>
      </c>
      <c r="E53" s="5">
        <f t="shared" si="15"/>
        <v>0</v>
      </c>
      <c r="F53" s="5">
        <f t="shared" si="15"/>
        <v>0</v>
      </c>
      <c r="G53" s="5">
        <f t="shared" si="12"/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16">
        <f t="shared" si="14"/>
        <v>38</v>
      </c>
      <c r="B54" s="1" t="s">
        <v>48</v>
      </c>
      <c r="C54" s="5">
        <v>0</v>
      </c>
      <c r="D54" s="5">
        <v>3330.58</v>
      </c>
      <c r="E54" s="5">
        <f t="shared" si="15"/>
        <v>0</v>
      </c>
      <c r="F54" s="5">
        <f t="shared" si="15"/>
        <v>-3330.58</v>
      </c>
      <c r="G54" s="5">
        <f t="shared" si="12"/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16">
        <f t="shared" si="14"/>
        <v>39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3.5" thickBot="1">
      <c r="A56" s="16">
        <f t="shared" si="14"/>
        <v>40</v>
      </c>
      <c r="B56" s="1"/>
      <c r="C56" s="17">
        <f>SUM(C44:C55)</f>
        <v>4038269.6300000004</v>
      </c>
      <c r="D56" s="17">
        <f>SUM(D44:D55)</f>
        <v>2423522.9099999997</v>
      </c>
      <c r="E56" s="17">
        <f>SUM(E44:E55)</f>
        <v>-2234578.85</v>
      </c>
      <c r="F56" s="17">
        <f>SUM(F44:F55)</f>
        <v>-1936902.6500000001</v>
      </c>
      <c r="G56" s="17">
        <f>SUM(G44:G55)</f>
        <v>1145156</v>
      </c>
      <c r="H56" s="17"/>
      <c r="I56" s="17">
        <f>SUM(I44:I55)</f>
        <v>0</v>
      </c>
      <c r="J56" s="17">
        <f>SUM(J44:J55)</f>
        <v>201606.96</v>
      </c>
      <c r="K56" s="17">
        <f>SUM(K44:K55)</f>
        <v>943548.56</v>
      </c>
      <c r="L56" s="17"/>
      <c r="M56" s="17">
        <f>SUM(M44:M55)</f>
        <v>0</v>
      </c>
      <c r="N56" s="17">
        <f>SUM(N44:N55)</f>
        <v>247483.83999999997</v>
      </c>
      <c r="O56" s="17">
        <f>SUM(O44:O55)</f>
        <v>1556206.94</v>
      </c>
      <c r="P56" s="5"/>
      <c r="Q56" s="17">
        <f>SUM(Q44:Q55)</f>
        <v>0</v>
      </c>
      <c r="R56" s="17">
        <f>SUM(R44:R55)</f>
        <v>155730.07999999996</v>
      </c>
      <c r="S56" s="17">
        <f>SUM(S44:S55)</f>
        <v>330890.1800000003</v>
      </c>
    </row>
    <row r="57" spans="1:19" ht="13.5" thickTop="1">
      <c r="A57" s="16">
        <f t="shared" si="14"/>
        <v>41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5"/>
      <c r="Q57" s="18"/>
      <c r="R57" s="18"/>
      <c r="S57" s="18"/>
    </row>
    <row r="58" spans="1:19" ht="12.75">
      <c r="A58" s="16">
        <f t="shared" si="14"/>
        <v>42</v>
      </c>
      <c r="C58" s="5"/>
      <c r="D58" s="5" t="s">
        <v>24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16">
        <f t="shared" si="14"/>
        <v>43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16">
        <f t="shared" si="14"/>
        <v>44</v>
      </c>
      <c r="B60" s="1" t="s">
        <v>50</v>
      </c>
      <c r="C60" s="5">
        <v>2735056</v>
      </c>
      <c r="D60" s="5">
        <f>1995133+292651</f>
        <v>2287784</v>
      </c>
      <c r="E60" s="5">
        <f>-C60</f>
        <v>-2735056</v>
      </c>
      <c r="F60" s="5">
        <f>-D60</f>
        <v>-2287784</v>
      </c>
      <c r="G60" s="5">
        <f>ROUND(SUM(C60:F60)/2,0)</f>
        <v>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16">
        <f t="shared" si="14"/>
        <v>45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3.5" thickBot="1">
      <c r="A62" s="16">
        <f t="shared" si="14"/>
        <v>46</v>
      </c>
      <c r="B62" s="1" t="s">
        <v>49</v>
      </c>
      <c r="C62" s="17">
        <f>SUM(C56+C60)</f>
        <v>6773325.630000001</v>
      </c>
      <c r="D62" s="17">
        <f>SUM(D56+D60)</f>
        <v>4711306.91</v>
      </c>
      <c r="E62" s="17">
        <f>SUM(E56+E60)</f>
        <v>-4969634.85</v>
      </c>
      <c r="F62" s="17">
        <f>SUM(F56+F60)</f>
        <v>-4224686.65</v>
      </c>
      <c r="G62" s="17">
        <f>SUM(G56+G60)</f>
        <v>1145156</v>
      </c>
      <c r="H62" s="17"/>
      <c r="I62" s="17">
        <f>SUM(I56+I60)</f>
        <v>0</v>
      </c>
      <c r="J62" s="17">
        <f>SUM(J56+J60)</f>
        <v>201606.96</v>
      </c>
      <c r="K62" s="17">
        <f>SUM(K56+K60)</f>
        <v>943548.56</v>
      </c>
      <c r="L62" s="17"/>
      <c r="M62" s="17">
        <f>SUM(M56+M60)</f>
        <v>0</v>
      </c>
      <c r="N62" s="17">
        <f>SUM(N56+N60)</f>
        <v>247483.83999999997</v>
      </c>
      <c r="O62" s="17">
        <f>SUM(O56+O60)</f>
        <v>1556206.94</v>
      </c>
      <c r="P62" s="5"/>
      <c r="Q62" s="17">
        <f>SUM(Q56+Q60)</f>
        <v>0</v>
      </c>
      <c r="R62" s="17">
        <f>SUM(R56+R60)</f>
        <v>155730.07999999996</v>
      </c>
      <c r="S62" s="17">
        <f>SUM(S56+S60)</f>
        <v>330890.1800000003</v>
      </c>
    </row>
    <row r="63" spans="1:19" ht="13.5" thickTop="1">
      <c r="A63" s="16">
        <f t="shared" si="14"/>
        <v>47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5"/>
      <c r="Q63" s="18"/>
      <c r="R63" s="18"/>
      <c r="S63" s="18"/>
    </row>
    <row r="64" spans="1:19" ht="12.75">
      <c r="A64" s="16">
        <f t="shared" si="14"/>
        <v>48</v>
      </c>
      <c r="B64" s="1" t="s">
        <v>51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16">
        <f t="shared" si="14"/>
        <v>49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16">
        <f t="shared" si="14"/>
        <v>50</v>
      </c>
      <c r="B66" s="1" t="s">
        <v>52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16">
        <f t="shared" si="14"/>
        <v>51</v>
      </c>
      <c r="C67" s="5"/>
      <c r="D67" s="19"/>
      <c r="E67" s="19"/>
      <c r="F67" s="19"/>
      <c r="G67" s="19"/>
      <c r="H67" s="19"/>
      <c r="I67" s="19"/>
      <c r="J67" s="19"/>
      <c r="K67" s="19"/>
      <c r="L67" s="19"/>
      <c r="M67" s="5"/>
      <c r="N67" s="5"/>
      <c r="O67" s="5"/>
      <c r="P67" s="5"/>
      <c r="Q67" s="5"/>
      <c r="R67" s="5"/>
      <c r="S67" s="5"/>
    </row>
    <row r="68" spans="1:19" ht="12.75">
      <c r="A68" s="16">
        <f t="shared" si="14"/>
        <v>52</v>
      </c>
      <c r="B68" s="1" t="s">
        <v>53</v>
      </c>
      <c r="C68" s="5"/>
      <c r="D68" s="19"/>
      <c r="E68" s="19"/>
      <c r="F68" s="19"/>
      <c r="G68" s="19"/>
      <c r="H68" s="19"/>
      <c r="I68" s="19"/>
      <c r="J68" s="19"/>
      <c r="K68" s="19"/>
      <c r="L68" s="19"/>
      <c r="M68" s="5"/>
      <c r="N68" s="5"/>
      <c r="O68" s="5"/>
      <c r="P68" s="5"/>
      <c r="Q68" s="5"/>
      <c r="R68" s="5"/>
      <c r="S68" s="5"/>
    </row>
    <row r="69" spans="1:19" ht="12.75">
      <c r="A69" s="16">
        <f t="shared" si="14"/>
        <v>53</v>
      </c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2.75">
      <c r="A70" s="16">
        <f t="shared" si="14"/>
        <v>54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2.75">
      <c r="A71" s="16">
        <f t="shared" si="14"/>
        <v>55</v>
      </c>
      <c r="B71" s="3" t="s">
        <v>54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2.75">
      <c r="A72" s="16">
        <f t="shared" si="14"/>
        <v>56</v>
      </c>
      <c r="B72" s="3" t="s">
        <v>55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>
      <c r="A73" s="16">
        <f t="shared" si="14"/>
        <v>57</v>
      </c>
      <c r="B73" s="1" t="s">
        <v>319</v>
      </c>
      <c r="C73" s="5">
        <f>SUM(M73:O73)</f>
        <v>107557</v>
      </c>
      <c r="D73" s="5">
        <f>SUM(Q73:S73)</f>
        <v>160107</v>
      </c>
      <c r="E73" s="5"/>
      <c r="F73" s="5"/>
      <c r="G73" s="5">
        <f>ROUND(SUM(C73:F73)/2,0)</f>
        <v>133832</v>
      </c>
      <c r="H73" s="5"/>
      <c r="I73" s="5">
        <f>(+M73+Q73)/2</f>
        <v>0</v>
      </c>
      <c r="J73" s="5">
        <f>(+N73+R73)/2</f>
        <v>28444</v>
      </c>
      <c r="K73" s="5">
        <f>(+O73+S73)/2</f>
        <v>105388</v>
      </c>
      <c r="L73" s="5"/>
      <c r="M73" s="5">
        <v>0</v>
      </c>
      <c r="N73" s="5">
        <v>22844</v>
      </c>
      <c r="O73" s="5">
        <v>84713</v>
      </c>
      <c r="P73" s="5"/>
      <c r="Q73" s="5">
        <v>0</v>
      </c>
      <c r="R73" s="5">
        <v>34044</v>
      </c>
      <c r="S73" s="5">
        <v>126063</v>
      </c>
    </row>
    <row r="74" spans="1:19" ht="12.75">
      <c r="A74" s="16">
        <f t="shared" si="14"/>
        <v>58</v>
      </c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3.5" thickBot="1">
      <c r="A75" s="16">
        <f t="shared" si="14"/>
        <v>59</v>
      </c>
      <c r="B75" s="3" t="s">
        <v>56</v>
      </c>
      <c r="C75" s="17">
        <f>SUM(C73:C74)</f>
        <v>107557</v>
      </c>
      <c r="D75" s="17">
        <f>SUM(D73:D74)</f>
        <v>160107</v>
      </c>
      <c r="E75" s="17">
        <f>SUM(E73:E74)</f>
        <v>0</v>
      </c>
      <c r="F75" s="17">
        <f>SUM(F73:F74)</f>
        <v>0</v>
      </c>
      <c r="G75" s="17">
        <f>SUM(G73:G74)</f>
        <v>133832</v>
      </c>
      <c r="H75" s="17"/>
      <c r="I75" s="17">
        <f>SUM(I73:I74)</f>
        <v>0</v>
      </c>
      <c r="J75" s="17">
        <f>SUM(J73:J74)</f>
        <v>28444</v>
      </c>
      <c r="K75" s="17">
        <f>SUM(K73:K74)</f>
        <v>105388</v>
      </c>
      <c r="L75" s="17"/>
      <c r="M75" s="17">
        <f>SUM(M73:M74)</f>
        <v>0</v>
      </c>
      <c r="N75" s="17">
        <f>SUM(N73:N74)</f>
        <v>22844</v>
      </c>
      <c r="O75" s="17">
        <f>SUM(O73:O74)</f>
        <v>84713</v>
      </c>
      <c r="P75" s="5"/>
      <c r="Q75" s="17">
        <f>SUM(Q73:Q74)</f>
        <v>0</v>
      </c>
      <c r="R75" s="17">
        <f>SUM(R73:R74)</f>
        <v>34044</v>
      </c>
      <c r="S75" s="17">
        <f>SUM(S73:S74)</f>
        <v>126063</v>
      </c>
    </row>
    <row r="76" spans="1:19" ht="13.5" thickTop="1">
      <c r="A76" s="16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5"/>
      <c r="Q76" s="18"/>
      <c r="R76" s="18"/>
      <c r="S76" s="18"/>
    </row>
    <row r="77" spans="1:19" ht="12.75">
      <c r="A77" s="1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75">
      <c r="A78" s="1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75">
      <c r="A79" s="1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.75">
      <c r="A80" s="1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2.75">
      <c r="A82" s="16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3:19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3:19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3:19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3:19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3:19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3:19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3:19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3:19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3:19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3:19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3:19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3:19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3:19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3:19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3:19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3:19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3:19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3:19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3:19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3:19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3:19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3:19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3:19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3:19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3:19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3:19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3:19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3:19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3:19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3:19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3:19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3:19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3:19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3:19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3:19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3:19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3:19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3:19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3:19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3:19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3:19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3:19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3:19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3:19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3:19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3:19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3:19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3:19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3:19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3:19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3:19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3:19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3:19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3:19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3:19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3:19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3:19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3:19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3:19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3:19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3:19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3:19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3:19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3:19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3:19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3:19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3:19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3:19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3:19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3:19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3:19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3:19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3:19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3:19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3:19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3:19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3:19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3:19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3:19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3:19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3:19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3:19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3:19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3:19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3:19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3:19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3:19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3:19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3:19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3:19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3:19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3:19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3:19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3:19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3:19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3:19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3:19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3:19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3:19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3:19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3:19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3:19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3:19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3:19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3:19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3:19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3:19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3:19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3:19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3:19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3:19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3:19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3:19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3:19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3:19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3:19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3:19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3:19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3:19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3:19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3:19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3:19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3:19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3:19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3:19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3:19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3:19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3:19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3:19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3:19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3:19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3:19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3:19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3:19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3:19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3:19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3:19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3:19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3:19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3:19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3:19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3:19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3:19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3:19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3:19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3:19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3:19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3:19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3:19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3:19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3:19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3:19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3:19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3:19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3:19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3:19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3:19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3:19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3:19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3:19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3:19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3:19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3:19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3:19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3:19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3:19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3:19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3:19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3:19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3:19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3:19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3:19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3:19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3:19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3:19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3:19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3:19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3:19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3:19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3:19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3:19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3:19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3:19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3:19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3:19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3:19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3:19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3:19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3:19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3:19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3:19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3:19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3:19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3:19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3:19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3:19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3:19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3:19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3:19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3:19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3:19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3:19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3:19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3:19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3:19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3:19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3:19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3:19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3:19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3:19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3:19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3:19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3:19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3:19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3:19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3:19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3:19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3:19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3:19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3:19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3:19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3:19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3:19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3:19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3:19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3:19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3:19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3:19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3:19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3:19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3:19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3:19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3:19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3:19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3:19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3:19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3:19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3:19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3:19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3:19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3:19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3:19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3:19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3:19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3:19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3:19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3:19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3:19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3:19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3:19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3:19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3:19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3:19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3:19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3:19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3:19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3:19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3:19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3:19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3:19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3:19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3:19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3:19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3:19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3:19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3:19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3:19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3:19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3:19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3:19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3:19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3:19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3:19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3:19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3:19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3:19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3:19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3:19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3:19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3:19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3:19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3:19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3:19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3:19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3:19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3:19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3:19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3:19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3:19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3:19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3:19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3:19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3:19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3:19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3:19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3:19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3:19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3:19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3:19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3:19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3:19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3:19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3:19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3:19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3:19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3:19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3:19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3:19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3:19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3:19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3:19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3:19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3:19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3:19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3:19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3:19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3:19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3:19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3:19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3:19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3:19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3:19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3:19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3:19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3:19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3:19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3:19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3:19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3:19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3:19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3:19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3:19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3:19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3:19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3:19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3:19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3:19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3:19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3:19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3:19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3:19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3:19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3:19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3:19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3:19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3:19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3:19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3:19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3:19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3:19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3:19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3:19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3:19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3:19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3:19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3:19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3:19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3:19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3:19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3:19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</sheetData>
  <sheetProtection/>
  <printOptions/>
  <pageMargins left="0.75" right="0" top="0.75" bottom="0.5" header="0" footer="0"/>
  <pageSetup fitToWidth="2" horizontalDpi="600" verticalDpi="600" orientation="portrait" scale="70" r:id="rId1"/>
  <headerFooter alignWithMargins="0">
    <oddHeader>&amp;RSTATEMENT AF
PAGE &amp;P OF &amp;N</oddHeader>
  </headerFooter>
  <colBreaks count="3" manualBreakCount="3">
    <brk id="7" min="14" max="69" man="1"/>
    <brk id="11" min="14" max="69" man="1"/>
    <brk id="15" min="14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863"/>
  <sheetViews>
    <sheetView showOutlineSymbols="0" view="pageBreakPreview" zoomScale="85" zoomScaleNormal="87" zoomScaleSheetLayoutView="85" workbookViewId="0" topLeftCell="A1">
      <selection activeCell="A1" sqref="A1"/>
    </sheetView>
  </sheetViews>
  <sheetFormatPr defaultColWidth="12.7109375" defaultRowHeight="12.75"/>
  <cols>
    <col min="1" max="1" width="5.8515625" style="7" customWidth="1"/>
    <col min="2" max="2" width="54.57421875" style="2" customWidth="1"/>
    <col min="3" max="3" width="22.7109375" style="2" customWidth="1"/>
    <col min="4" max="4" width="13.57421875" style="2" customWidth="1"/>
    <col min="5" max="5" width="21.28125" style="2" customWidth="1"/>
    <col min="6" max="6" width="16.421875" style="2" customWidth="1"/>
    <col min="7" max="7" width="18.421875" style="2" customWidth="1"/>
    <col min="8" max="8" width="3.140625" style="2" customWidth="1"/>
    <col min="9" max="11" width="18.421875" style="2" customWidth="1"/>
    <col min="12" max="12" width="3.00390625" style="2" customWidth="1"/>
    <col min="13" max="13" width="14.00390625" style="2" customWidth="1"/>
    <col min="14" max="14" width="15.8515625" style="2" customWidth="1"/>
    <col min="15" max="15" width="15.140625" style="2" customWidth="1"/>
    <col min="16" max="16" width="2.8515625" style="2" customWidth="1"/>
    <col min="17" max="17" width="14.00390625" style="2" hidden="1" customWidth="1"/>
    <col min="18" max="18" width="15.8515625" style="2" hidden="1" customWidth="1"/>
    <col min="19" max="19" width="19.28125" style="2" hidden="1" customWidth="1"/>
    <col min="20" max="16384" width="12.7109375" style="2" customWidth="1"/>
  </cols>
  <sheetData>
    <row r="1" spans="2:19" ht="12.75">
      <c r="B1" s="20" t="s">
        <v>436</v>
      </c>
      <c r="G1" s="3"/>
      <c r="H1" s="3"/>
      <c r="I1" s="3"/>
      <c r="J1" s="3"/>
      <c r="K1" s="3"/>
      <c r="L1" s="3"/>
      <c r="S1" s="9"/>
    </row>
    <row r="2" spans="2:12" ht="12.75">
      <c r="B2" s="20" t="s">
        <v>140</v>
      </c>
      <c r="G2" s="1"/>
      <c r="H2" s="1"/>
      <c r="I2" s="1"/>
      <c r="J2" s="1"/>
      <c r="K2" s="1"/>
      <c r="L2" s="1"/>
    </row>
    <row r="3" ht="12.75">
      <c r="B3" s="58" t="s">
        <v>442</v>
      </c>
    </row>
    <row r="4" ht="12.75">
      <c r="B4" s="16"/>
    </row>
    <row r="5" ht="12.75">
      <c r="B5" s="9"/>
    </row>
    <row r="6" spans="7:12" ht="12.75">
      <c r="G6" s="8" t="s">
        <v>141</v>
      </c>
      <c r="H6" s="8"/>
      <c r="I6" s="8"/>
      <c r="J6" s="8"/>
      <c r="K6" s="8"/>
      <c r="L6" s="8"/>
    </row>
    <row r="7" ht="12.75"/>
    <row r="8" spans="2:19" ht="12.75">
      <c r="B8" s="44" t="s">
        <v>2</v>
      </c>
      <c r="C8" s="44" t="s">
        <v>3</v>
      </c>
      <c r="D8" s="44" t="s">
        <v>4</v>
      </c>
      <c r="E8" s="44" t="s">
        <v>5</v>
      </c>
      <c r="F8" s="44" t="s">
        <v>6</v>
      </c>
      <c r="G8" s="44" t="s">
        <v>7</v>
      </c>
      <c r="H8" s="44"/>
      <c r="I8" s="44" t="s">
        <v>8</v>
      </c>
      <c r="J8" s="44" t="s">
        <v>9</v>
      </c>
      <c r="K8" s="44" t="s">
        <v>10</v>
      </c>
      <c r="L8" s="44"/>
      <c r="M8" s="44" t="s">
        <v>11</v>
      </c>
      <c r="N8" s="59" t="s">
        <v>60</v>
      </c>
      <c r="O8" s="59" t="s">
        <v>61</v>
      </c>
      <c r="Q8" s="44" t="s">
        <v>62</v>
      </c>
      <c r="R8" s="59" t="s">
        <v>63</v>
      </c>
      <c r="S8" s="59" t="s">
        <v>64</v>
      </c>
    </row>
    <row r="9" ht="12.75"/>
    <row r="10" spans="3:19" ht="12.75">
      <c r="C10" s="10" t="s">
        <v>12</v>
      </c>
      <c r="D10" s="10"/>
      <c r="E10" s="46" t="s">
        <v>13</v>
      </c>
      <c r="F10" s="10"/>
      <c r="G10" s="12" t="s">
        <v>14</v>
      </c>
      <c r="H10" s="12"/>
      <c r="I10" s="13" t="s">
        <v>66</v>
      </c>
      <c r="J10" s="10"/>
      <c r="K10" s="10"/>
      <c r="L10" s="12"/>
      <c r="M10" s="13" t="s">
        <v>129</v>
      </c>
      <c r="N10" s="10"/>
      <c r="O10" s="10"/>
      <c r="Q10" s="13" t="s">
        <v>123</v>
      </c>
      <c r="R10" s="10"/>
      <c r="S10" s="10"/>
    </row>
    <row r="11" spans="3:19" ht="12.75">
      <c r="C11" s="14"/>
      <c r="D11" s="14"/>
      <c r="G11" s="12" t="s">
        <v>15</v>
      </c>
      <c r="H11" s="12"/>
      <c r="I11" s="14"/>
      <c r="J11" s="14"/>
      <c r="K11" s="14"/>
      <c r="L11" s="12"/>
      <c r="M11" s="14"/>
      <c r="N11" s="14"/>
      <c r="O11" s="14"/>
      <c r="Q11" s="14"/>
      <c r="R11" s="14"/>
      <c r="S11" s="14"/>
    </row>
    <row r="12" spans="3:12" ht="12.75">
      <c r="C12" s="12" t="s">
        <v>16</v>
      </c>
      <c r="D12" s="12" t="s">
        <v>16</v>
      </c>
      <c r="E12" s="12" t="s">
        <v>16</v>
      </c>
      <c r="F12" s="12" t="s">
        <v>16</v>
      </c>
      <c r="G12" s="12" t="s">
        <v>17</v>
      </c>
      <c r="H12" s="12"/>
      <c r="L12" s="12"/>
    </row>
    <row r="13" spans="2:19" ht="12.75">
      <c r="B13" s="44" t="s">
        <v>18</v>
      </c>
      <c r="C13" s="44" t="s">
        <v>128</v>
      </c>
      <c r="D13" s="44" t="s">
        <v>122</v>
      </c>
      <c r="E13" s="44" t="s">
        <v>128</v>
      </c>
      <c r="F13" s="44" t="s">
        <v>122</v>
      </c>
      <c r="G13" s="44" t="s">
        <v>19</v>
      </c>
      <c r="H13" s="44"/>
      <c r="I13" s="44" t="s">
        <v>20</v>
      </c>
      <c r="J13" s="44" t="s">
        <v>21</v>
      </c>
      <c r="K13" s="44" t="s">
        <v>22</v>
      </c>
      <c r="L13" s="44"/>
      <c r="M13" s="44" t="s">
        <v>20</v>
      </c>
      <c r="N13" s="59" t="s">
        <v>21</v>
      </c>
      <c r="O13" s="59" t="s">
        <v>22</v>
      </c>
      <c r="Q13" s="44" t="s">
        <v>20</v>
      </c>
      <c r="R13" s="59" t="s">
        <v>21</v>
      </c>
      <c r="S13" s="59" t="s">
        <v>22</v>
      </c>
    </row>
    <row r="14" ht="12.75"/>
    <row r="15" spans="1:25" ht="12.75">
      <c r="A15" s="36"/>
      <c r="B15" s="6" t="s">
        <v>142</v>
      </c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P15" s="5"/>
      <c r="Q15" s="5"/>
      <c r="T15" s="5"/>
      <c r="U15" s="5"/>
      <c r="V15" s="5"/>
      <c r="W15" s="5"/>
      <c r="X15" s="5"/>
      <c r="Y15" s="5"/>
    </row>
    <row r="16" spans="1:25" ht="12.75">
      <c r="A16" s="3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  <c r="Q16" s="5"/>
      <c r="T16" s="5"/>
      <c r="U16" s="5"/>
      <c r="V16" s="5"/>
      <c r="W16" s="5"/>
      <c r="X16" s="5"/>
      <c r="Y16" s="5"/>
    </row>
    <row r="17" spans="1:25" ht="12.75">
      <c r="A17" s="37">
        <f>1</f>
        <v>1</v>
      </c>
      <c r="B17" s="49" t="s">
        <v>320</v>
      </c>
      <c r="C17" s="5">
        <f aca="true" t="shared" si="0" ref="C17:C42">SUM(M17:O17)</f>
        <v>456343.08999999997</v>
      </c>
      <c r="D17" s="5">
        <f aca="true" t="shared" si="1" ref="D17:D42">SUM(Q17:S17)</f>
        <v>0</v>
      </c>
      <c r="E17" s="5"/>
      <c r="F17" s="5"/>
      <c r="G17" s="5">
        <f aca="true" t="shared" si="2" ref="G17:G49">ROUND(SUM(C17:F17)/2,0)</f>
        <v>228172</v>
      </c>
      <c r="H17" s="5"/>
      <c r="I17" s="5">
        <f aca="true" t="shared" si="3" ref="I17:I42">(+M17+Q17)/2</f>
        <v>0</v>
      </c>
      <c r="J17" s="5">
        <f aca="true" t="shared" si="4" ref="J17:J42">(+N17+R17)/2</f>
        <v>3324.33</v>
      </c>
      <c r="K17" s="5">
        <f aca="true" t="shared" si="5" ref="K17:K42">(+O17+S17)/2</f>
        <v>224847.215</v>
      </c>
      <c r="L17" s="5"/>
      <c r="M17" s="5">
        <v>0</v>
      </c>
      <c r="N17" s="60">
        <v>6648.66</v>
      </c>
      <c r="O17" s="60">
        <f>53694.43+396000</f>
        <v>449694.43</v>
      </c>
      <c r="P17" s="5"/>
      <c r="Q17" s="5">
        <v>0</v>
      </c>
      <c r="R17" s="60">
        <v>0</v>
      </c>
      <c r="S17" s="60">
        <v>0</v>
      </c>
      <c r="T17" s="5"/>
      <c r="U17" s="5"/>
      <c r="V17" s="5"/>
      <c r="W17" s="5"/>
      <c r="X17" s="5"/>
      <c r="Y17" s="5"/>
    </row>
    <row r="18" spans="1:25" ht="12.75">
      <c r="A18" s="37">
        <f aca="true" t="shared" si="6" ref="A18:A51">A17+1</f>
        <v>2</v>
      </c>
      <c r="B18" s="5" t="s">
        <v>324</v>
      </c>
      <c r="C18" s="5">
        <f t="shared" si="0"/>
        <v>405226.70999999996</v>
      </c>
      <c r="D18" s="5">
        <f t="shared" si="1"/>
        <v>522820.99</v>
      </c>
      <c r="E18" s="5"/>
      <c r="F18" s="5"/>
      <c r="G18" s="5">
        <f t="shared" si="2"/>
        <v>464024</v>
      </c>
      <c r="H18" s="5"/>
      <c r="I18" s="5">
        <f t="shared" si="3"/>
        <v>0</v>
      </c>
      <c r="J18" s="5">
        <f t="shared" si="4"/>
        <v>30847.6</v>
      </c>
      <c r="K18" s="5">
        <f t="shared" si="5"/>
        <v>433176.25</v>
      </c>
      <c r="L18" s="5"/>
      <c r="M18" s="5">
        <v>0</v>
      </c>
      <c r="N18" s="5">
        <v>29003.1</v>
      </c>
      <c r="O18" s="5">
        <v>376223.61</v>
      </c>
      <c r="P18" s="5"/>
      <c r="Q18" s="5">
        <v>0</v>
      </c>
      <c r="R18" s="60">
        <v>32692.1</v>
      </c>
      <c r="S18" s="60">
        <v>490128.89</v>
      </c>
      <c r="T18" s="5"/>
      <c r="U18" s="5"/>
      <c r="V18" s="5"/>
      <c r="W18" s="5"/>
      <c r="X18" s="5"/>
      <c r="Y18" s="5"/>
    </row>
    <row r="19" spans="1:25" ht="12.75">
      <c r="A19" s="37">
        <f t="shared" si="6"/>
        <v>3</v>
      </c>
      <c r="B19" s="6" t="s">
        <v>144</v>
      </c>
      <c r="C19" s="5">
        <f t="shared" si="0"/>
        <v>0</v>
      </c>
      <c r="D19" s="5">
        <f t="shared" si="1"/>
        <v>0</v>
      </c>
      <c r="E19" s="5"/>
      <c r="F19" s="5"/>
      <c r="G19" s="5">
        <f t="shared" si="2"/>
        <v>0</v>
      </c>
      <c r="H19" s="5"/>
      <c r="I19" s="5">
        <f t="shared" si="3"/>
        <v>0</v>
      </c>
      <c r="J19" s="5">
        <f t="shared" si="4"/>
        <v>0</v>
      </c>
      <c r="K19" s="5">
        <f t="shared" si="5"/>
        <v>0</v>
      </c>
      <c r="L19" s="5"/>
      <c r="M19" s="5">
        <v>0</v>
      </c>
      <c r="N19" s="5">
        <v>0</v>
      </c>
      <c r="O19" s="5">
        <v>0</v>
      </c>
      <c r="P19" s="5"/>
      <c r="Q19" s="5">
        <v>0</v>
      </c>
      <c r="R19" s="5">
        <v>0</v>
      </c>
      <c r="S19" s="5">
        <v>0</v>
      </c>
      <c r="T19" s="5"/>
      <c r="U19" s="5"/>
      <c r="V19" s="5"/>
      <c r="W19" s="5"/>
      <c r="X19" s="5"/>
      <c r="Y19" s="5"/>
    </row>
    <row r="20" spans="1:25" ht="12.75">
      <c r="A20" s="37">
        <f t="shared" si="6"/>
        <v>4</v>
      </c>
      <c r="B20" s="6" t="s">
        <v>443</v>
      </c>
      <c r="C20" s="5">
        <f t="shared" si="0"/>
        <v>0.36</v>
      </c>
      <c r="D20" s="5">
        <f t="shared" si="1"/>
        <v>-3894.1</v>
      </c>
      <c r="E20" s="5"/>
      <c r="F20" s="5"/>
      <c r="G20" s="5">
        <f t="shared" si="2"/>
        <v>-1947</v>
      </c>
      <c r="H20" s="5"/>
      <c r="I20" s="5">
        <f t="shared" si="3"/>
        <v>0</v>
      </c>
      <c r="J20" s="5">
        <f t="shared" si="4"/>
        <v>-1947.05</v>
      </c>
      <c r="K20" s="5">
        <f t="shared" si="5"/>
        <v>0.18</v>
      </c>
      <c r="L20" s="5"/>
      <c r="M20" s="5">
        <v>0</v>
      </c>
      <c r="N20" s="5">
        <v>0</v>
      </c>
      <c r="O20" s="5">
        <v>0.36</v>
      </c>
      <c r="P20" s="5"/>
      <c r="Q20" s="5">
        <v>0</v>
      </c>
      <c r="R20" s="5">
        <v>-3894.1</v>
      </c>
      <c r="S20" s="5">
        <v>0</v>
      </c>
      <c r="T20" s="5"/>
      <c r="U20" s="5"/>
      <c r="V20" s="5"/>
      <c r="W20" s="5"/>
      <c r="X20" s="5"/>
      <c r="Y20" s="5"/>
    </row>
    <row r="21" spans="1:25" ht="12.75">
      <c r="A21" s="37">
        <f t="shared" si="6"/>
        <v>5</v>
      </c>
      <c r="B21" s="5" t="s">
        <v>57</v>
      </c>
      <c r="C21" s="5">
        <f t="shared" si="0"/>
        <v>-1509371.1</v>
      </c>
      <c r="D21" s="5">
        <f t="shared" si="1"/>
        <v>-1300006.7000000002</v>
      </c>
      <c r="E21" s="5"/>
      <c r="F21" s="5"/>
      <c r="G21" s="5">
        <f t="shared" si="2"/>
        <v>-1404689</v>
      </c>
      <c r="H21" s="5"/>
      <c r="I21" s="5">
        <f t="shared" si="3"/>
        <v>0</v>
      </c>
      <c r="J21" s="5">
        <f t="shared" si="4"/>
        <v>-191280.005</v>
      </c>
      <c r="K21" s="5">
        <f t="shared" si="5"/>
        <v>-1213408.895</v>
      </c>
      <c r="L21" s="5"/>
      <c r="M21" s="5">
        <v>0</v>
      </c>
      <c r="N21" s="60">
        <v>-205636.13</v>
      </c>
      <c r="O21" s="60">
        <v>-1303734.97</v>
      </c>
      <c r="P21" s="5"/>
      <c r="Q21" s="5">
        <v>0</v>
      </c>
      <c r="R21" s="60">
        <v>-176923.88</v>
      </c>
      <c r="S21" s="60">
        <v>-1123082.82</v>
      </c>
      <c r="T21" s="5"/>
      <c r="U21" s="5"/>
      <c r="V21" s="5"/>
      <c r="W21" s="5"/>
      <c r="X21" s="5"/>
      <c r="Y21" s="5"/>
    </row>
    <row r="22" spans="1:25" ht="12.75">
      <c r="A22" s="37">
        <f t="shared" si="6"/>
        <v>6</v>
      </c>
      <c r="B22" s="5" t="s">
        <v>165</v>
      </c>
      <c r="C22" s="5">
        <f t="shared" si="0"/>
        <v>16410.3</v>
      </c>
      <c r="D22" s="5">
        <f t="shared" si="1"/>
        <v>26937.71</v>
      </c>
      <c r="E22" s="5"/>
      <c r="F22" s="5"/>
      <c r="G22" s="5">
        <f t="shared" si="2"/>
        <v>21674</v>
      </c>
      <c r="H22" s="5"/>
      <c r="I22" s="5">
        <f t="shared" si="3"/>
        <v>0</v>
      </c>
      <c r="J22" s="5">
        <f t="shared" si="4"/>
        <v>-3729.21</v>
      </c>
      <c r="K22" s="5">
        <f t="shared" si="5"/>
        <v>25403.215</v>
      </c>
      <c r="L22" s="5"/>
      <c r="M22" s="5">
        <v>0</v>
      </c>
      <c r="N22" s="60">
        <v>3263.15</v>
      </c>
      <c r="O22" s="60">
        <v>13147.15</v>
      </c>
      <c r="P22" s="5"/>
      <c r="Q22" s="5">
        <v>0</v>
      </c>
      <c r="R22" s="60">
        <v>-10721.57</v>
      </c>
      <c r="S22" s="60">
        <v>37659.28</v>
      </c>
      <c r="T22" s="5"/>
      <c r="U22" s="5"/>
      <c r="V22" s="5"/>
      <c r="W22" s="5"/>
      <c r="X22" s="5"/>
      <c r="Y22" s="5"/>
    </row>
    <row r="23" spans="1:25" ht="12.75">
      <c r="A23" s="37">
        <f t="shared" si="6"/>
        <v>7</v>
      </c>
      <c r="B23" s="5" t="s">
        <v>167</v>
      </c>
      <c r="C23" s="5">
        <f t="shared" si="0"/>
        <v>64561.94</v>
      </c>
      <c r="D23" s="5">
        <f t="shared" si="1"/>
        <v>56137.72</v>
      </c>
      <c r="E23" s="5"/>
      <c r="F23" s="5"/>
      <c r="G23" s="5">
        <f t="shared" si="2"/>
        <v>60350</v>
      </c>
      <c r="H23" s="5"/>
      <c r="I23" s="5">
        <f t="shared" si="3"/>
        <v>0</v>
      </c>
      <c r="J23" s="5">
        <f t="shared" si="4"/>
        <v>19246.489999999998</v>
      </c>
      <c r="K23" s="5">
        <f t="shared" si="5"/>
        <v>41103.34</v>
      </c>
      <c r="L23" s="5"/>
      <c r="M23" s="5">
        <v>0</v>
      </c>
      <c r="N23" s="60">
        <v>20662.88</v>
      </c>
      <c r="O23" s="60">
        <v>43899.06</v>
      </c>
      <c r="P23" s="5"/>
      <c r="Q23" s="5">
        <v>0</v>
      </c>
      <c r="R23" s="60">
        <v>17830.1</v>
      </c>
      <c r="S23" s="60">
        <v>38307.62</v>
      </c>
      <c r="T23" s="5"/>
      <c r="U23" s="5"/>
      <c r="V23" s="5"/>
      <c r="W23" s="5"/>
      <c r="X23" s="5"/>
      <c r="Y23" s="5"/>
    </row>
    <row r="24" spans="1:25" ht="12.75">
      <c r="A24" s="37">
        <f t="shared" si="6"/>
        <v>8</v>
      </c>
      <c r="B24" s="6" t="s">
        <v>421</v>
      </c>
      <c r="C24" s="5">
        <f t="shared" si="0"/>
        <v>0</v>
      </c>
      <c r="D24" s="5">
        <f t="shared" si="1"/>
        <v>5304.85</v>
      </c>
      <c r="E24" s="5"/>
      <c r="F24" s="5"/>
      <c r="G24" s="5">
        <f t="shared" si="2"/>
        <v>2652</v>
      </c>
      <c r="H24" s="5"/>
      <c r="I24" s="5">
        <f t="shared" si="3"/>
        <v>0</v>
      </c>
      <c r="J24" s="5">
        <f t="shared" si="4"/>
        <v>0</v>
      </c>
      <c r="K24" s="5">
        <f t="shared" si="5"/>
        <v>2652.425</v>
      </c>
      <c r="L24" s="5"/>
      <c r="M24" s="5">
        <v>0</v>
      </c>
      <c r="N24" s="60">
        <v>0</v>
      </c>
      <c r="O24" s="60">
        <v>0</v>
      </c>
      <c r="P24" s="5"/>
      <c r="Q24" s="5">
        <v>0</v>
      </c>
      <c r="R24" s="60">
        <v>0</v>
      </c>
      <c r="S24" s="60">
        <v>5304.85</v>
      </c>
      <c r="T24" s="5"/>
      <c r="U24" s="5"/>
      <c r="V24" s="5"/>
      <c r="W24" s="5"/>
      <c r="X24" s="5"/>
      <c r="Y24" s="5"/>
    </row>
    <row r="25" spans="1:25" ht="12.75">
      <c r="A25" s="37">
        <f t="shared" si="6"/>
        <v>9</v>
      </c>
      <c r="B25" s="5" t="s">
        <v>170</v>
      </c>
      <c r="C25" s="5">
        <f t="shared" si="0"/>
        <v>-0.09000000000000008</v>
      </c>
      <c r="D25" s="5">
        <f t="shared" si="1"/>
        <v>0</v>
      </c>
      <c r="E25" s="5"/>
      <c r="F25" s="5"/>
      <c r="G25" s="5">
        <f t="shared" si="2"/>
        <v>0</v>
      </c>
      <c r="H25" s="5"/>
      <c r="I25" s="5">
        <f t="shared" si="3"/>
        <v>0</v>
      </c>
      <c r="J25" s="5">
        <f t="shared" si="4"/>
        <v>0</v>
      </c>
      <c r="K25" s="5">
        <f t="shared" si="5"/>
        <v>-0.04500000000000004</v>
      </c>
      <c r="L25" s="5"/>
      <c r="M25" s="5">
        <v>0</v>
      </c>
      <c r="N25" s="60">
        <f>-1+1</f>
        <v>0</v>
      </c>
      <c r="O25" s="60">
        <f>-1.09+1</f>
        <v>-0.09000000000000008</v>
      </c>
      <c r="P25" s="5"/>
      <c r="Q25" s="5">
        <v>0</v>
      </c>
      <c r="R25" s="60">
        <v>0</v>
      </c>
      <c r="S25" s="60">
        <v>0</v>
      </c>
      <c r="T25" s="5"/>
      <c r="U25" s="5"/>
      <c r="V25" s="5"/>
      <c r="W25" s="5"/>
      <c r="X25" s="5"/>
      <c r="Y25" s="5"/>
    </row>
    <row r="26" spans="1:25" ht="12.75">
      <c r="A26" s="37">
        <f t="shared" si="6"/>
        <v>10</v>
      </c>
      <c r="B26" s="61" t="s">
        <v>171</v>
      </c>
      <c r="C26" s="5">
        <f t="shared" si="0"/>
        <v>-6392.6</v>
      </c>
      <c r="D26" s="5">
        <f t="shared" si="1"/>
        <v>38679</v>
      </c>
      <c r="E26" s="5"/>
      <c r="F26" s="5"/>
      <c r="G26" s="5">
        <f t="shared" si="2"/>
        <v>16143</v>
      </c>
      <c r="H26" s="5"/>
      <c r="I26" s="5">
        <f t="shared" si="3"/>
        <v>0</v>
      </c>
      <c r="J26" s="5">
        <f t="shared" si="4"/>
        <v>2033.6499999999996</v>
      </c>
      <c r="K26" s="5">
        <f t="shared" si="5"/>
        <v>14109.55</v>
      </c>
      <c r="L26" s="5"/>
      <c r="M26" s="5">
        <v>0</v>
      </c>
      <c r="N26" s="60">
        <f>-6433.35+6290</f>
        <v>-143.35000000000036</v>
      </c>
      <c r="O26" s="60">
        <f>-12283.25+6034</f>
        <v>-6249.25</v>
      </c>
      <c r="P26" s="5"/>
      <c r="Q26" s="5">
        <v>0</v>
      </c>
      <c r="R26" s="60">
        <f>-2079.35+6290</f>
        <v>4210.65</v>
      </c>
      <c r="S26" s="60">
        <f>28434.35+6034</f>
        <v>34468.35</v>
      </c>
      <c r="T26" s="5"/>
      <c r="U26" s="5"/>
      <c r="V26" s="5"/>
      <c r="W26" s="5"/>
      <c r="X26" s="5"/>
      <c r="Y26" s="5"/>
    </row>
    <row r="27" spans="1:25" ht="12.75">
      <c r="A27" s="37">
        <f t="shared" si="6"/>
        <v>11</v>
      </c>
      <c r="B27" s="61" t="s">
        <v>172</v>
      </c>
      <c r="C27" s="5">
        <f t="shared" si="0"/>
        <v>-90184.9</v>
      </c>
      <c r="D27" s="5">
        <f t="shared" si="1"/>
        <v>-94730</v>
      </c>
      <c r="E27" s="5"/>
      <c r="F27" s="5"/>
      <c r="G27" s="5">
        <f t="shared" si="2"/>
        <v>-92457</v>
      </c>
      <c r="H27" s="5"/>
      <c r="I27" s="5">
        <f t="shared" si="3"/>
        <v>0</v>
      </c>
      <c r="J27" s="5">
        <f t="shared" si="4"/>
        <v>-36546.675</v>
      </c>
      <c r="K27" s="5">
        <f t="shared" si="5"/>
        <v>-55910.774999999994</v>
      </c>
      <c r="L27" s="5"/>
      <c r="M27" s="5">
        <v>0</v>
      </c>
      <c r="N27" s="60">
        <f>-41043.45-80</f>
        <v>-41123.45</v>
      </c>
      <c r="O27" s="60">
        <f>-48981.45-80</f>
        <v>-49061.45</v>
      </c>
      <c r="P27" s="5"/>
      <c r="Q27" s="5">
        <v>0</v>
      </c>
      <c r="R27" s="60">
        <f>-31889.9-80</f>
        <v>-31969.9</v>
      </c>
      <c r="S27" s="60">
        <f>-62680.1-80</f>
        <v>-62760.1</v>
      </c>
      <c r="T27" s="5"/>
      <c r="U27" s="5"/>
      <c r="V27" s="5"/>
      <c r="W27" s="5"/>
      <c r="X27" s="5"/>
      <c r="Y27" s="5"/>
    </row>
    <row r="28" spans="1:25" ht="12.75">
      <c r="A28" s="37">
        <f t="shared" si="6"/>
        <v>12</v>
      </c>
      <c r="B28" s="5" t="s">
        <v>173</v>
      </c>
      <c r="C28" s="5">
        <f t="shared" si="0"/>
        <v>-821.9699999999999</v>
      </c>
      <c r="D28" s="5">
        <f t="shared" si="1"/>
        <v>-821.9699999999999</v>
      </c>
      <c r="E28" s="5"/>
      <c r="F28" s="5"/>
      <c r="G28" s="5">
        <f t="shared" si="2"/>
        <v>-822</v>
      </c>
      <c r="H28" s="5"/>
      <c r="I28" s="5">
        <f t="shared" si="3"/>
        <v>0</v>
      </c>
      <c r="J28" s="5">
        <f t="shared" si="4"/>
        <v>-821.8</v>
      </c>
      <c r="K28" s="5">
        <f t="shared" si="5"/>
        <v>-0.17</v>
      </c>
      <c r="L28" s="5"/>
      <c r="M28" s="5">
        <v>0</v>
      </c>
      <c r="N28" s="60">
        <v>-821.8</v>
      </c>
      <c r="O28" s="60">
        <f>-0.17</f>
        <v>-0.17</v>
      </c>
      <c r="P28" s="5"/>
      <c r="Q28" s="5">
        <v>0</v>
      </c>
      <c r="R28" s="60">
        <v>-821.8</v>
      </c>
      <c r="S28" s="60">
        <v>-0.17</v>
      </c>
      <c r="T28" s="5"/>
      <c r="U28" s="5"/>
      <c r="V28" s="5"/>
      <c r="W28" s="5"/>
      <c r="X28" s="5"/>
      <c r="Y28" s="5"/>
    </row>
    <row r="29" spans="1:25" ht="12.75">
      <c r="A29" s="37">
        <f t="shared" si="6"/>
        <v>13</v>
      </c>
      <c r="B29" s="5" t="s">
        <v>175</v>
      </c>
      <c r="C29" s="5">
        <f t="shared" si="0"/>
        <v>7780.84</v>
      </c>
      <c r="D29" s="5">
        <f t="shared" si="1"/>
        <v>7780.84</v>
      </c>
      <c r="E29" s="5"/>
      <c r="F29" s="5"/>
      <c r="G29" s="5">
        <f t="shared" si="2"/>
        <v>7781</v>
      </c>
      <c r="H29" s="5"/>
      <c r="I29" s="5">
        <f t="shared" si="3"/>
        <v>0</v>
      </c>
      <c r="J29" s="5">
        <f t="shared" si="4"/>
        <v>7780.84</v>
      </c>
      <c r="K29" s="5">
        <f t="shared" si="5"/>
        <v>0</v>
      </c>
      <c r="L29" s="5"/>
      <c r="M29" s="5">
        <v>0</v>
      </c>
      <c r="N29" s="60">
        <v>7780.84</v>
      </c>
      <c r="O29" s="60">
        <v>0</v>
      </c>
      <c r="P29" s="5"/>
      <c r="Q29" s="5">
        <v>0</v>
      </c>
      <c r="R29" s="60">
        <v>7780.84</v>
      </c>
      <c r="S29" s="60">
        <v>0</v>
      </c>
      <c r="T29" s="5"/>
      <c r="U29" s="5"/>
      <c r="V29" s="5"/>
      <c r="W29" s="5"/>
      <c r="X29" s="5"/>
      <c r="Y29" s="5"/>
    </row>
    <row r="30" spans="1:25" ht="12.75">
      <c r="A30" s="37">
        <f t="shared" si="6"/>
        <v>14</v>
      </c>
      <c r="B30" s="5" t="s">
        <v>189</v>
      </c>
      <c r="C30" s="5">
        <f t="shared" si="0"/>
        <v>25955.64</v>
      </c>
      <c r="D30" s="5">
        <f t="shared" si="1"/>
        <v>23789.57</v>
      </c>
      <c r="E30" s="5"/>
      <c r="F30" s="5"/>
      <c r="G30" s="5">
        <f t="shared" si="2"/>
        <v>24873</v>
      </c>
      <c r="H30" s="5"/>
      <c r="I30" s="5">
        <f t="shared" si="3"/>
        <v>0</v>
      </c>
      <c r="J30" s="5">
        <f t="shared" si="4"/>
        <v>0</v>
      </c>
      <c r="K30" s="5">
        <f t="shared" si="5"/>
        <v>24872.605</v>
      </c>
      <c r="L30" s="5"/>
      <c r="M30" s="5">
        <v>0</v>
      </c>
      <c r="N30" s="60">
        <v>0</v>
      </c>
      <c r="O30" s="60">
        <v>25955.64</v>
      </c>
      <c r="P30" s="5"/>
      <c r="Q30" s="5">
        <v>0</v>
      </c>
      <c r="R30" s="60">
        <v>0</v>
      </c>
      <c r="S30" s="60">
        <v>23789.57</v>
      </c>
      <c r="T30" s="5"/>
      <c r="U30" s="5"/>
      <c r="V30" s="5"/>
      <c r="W30" s="5"/>
      <c r="X30" s="5"/>
      <c r="Y30" s="5"/>
    </row>
    <row r="31" spans="1:25" ht="12.75">
      <c r="A31" s="37">
        <f t="shared" si="6"/>
        <v>15</v>
      </c>
      <c r="B31" s="5" t="s">
        <v>193</v>
      </c>
      <c r="C31" s="5">
        <f t="shared" si="0"/>
        <v>-364.21999999999997</v>
      </c>
      <c r="D31" s="5">
        <f t="shared" si="1"/>
        <v>-652.7700000000001</v>
      </c>
      <c r="E31" s="5"/>
      <c r="F31" s="5"/>
      <c r="G31" s="5">
        <f t="shared" si="2"/>
        <v>-508</v>
      </c>
      <c r="H31" s="5"/>
      <c r="I31" s="5">
        <f t="shared" si="3"/>
        <v>0</v>
      </c>
      <c r="J31" s="5">
        <f t="shared" si="4"/>
        <v>-505.45500000000004</v>
      </c>
      <c r="K31" s="5">
        <f t="shared" si="5"/>
        <v>-3.04</v>
      </c>
      <c r="L31" s="5"/>
      <c r="M31" s="5">
        <v>0</v>
      </c>
      <c r="N31" s="60">
        <v>-363.09</v>
      </c>
      <c r="O31" s="60">
        <v>-1.13</v>
      </c>
      <c r="P31" s="5"/>
      <c r="Q31" s="5">
        <v>0</v>
      </c>
      <c r="R31" s="60">
        <v>-647.82</v>
      </c>
      <c r="S31" s="60">
        <v>-4.95</v>
      </c>
      <c r="T31" s="5"/>
      <c r="U31" s="5"/>
      <c r="V31" s="5"/>
      <c r="W31" s="5"/>
      <c r="X31" s="5"/>
      <c r="Y31" s="5"/>
    </row>
    <row r="32" spans="1:25" ht="12.75">
      <c r="A32" s="37">
        <f t="shared" si="6"/>
        <v>16</v>
      </c>
      <c r="B32" s="6" t="s">
        <v>100</v>
      </c>
      <c r="C32" s="5">
        <f t="shared" si="0"/>
        <v>-29602.3</v>
      </c>
      <c r="D32" s="5">
        <f t="shared" si="1"/>
        <v>-26001.15</v>
      </c>
      <c r="E32" s="5"/>
      <c r="F32" s="5"/>
      <c r="G32" s="5">
        <f t="shared" si="2"/>
        <v>-27802</v>
      </c>
      <c r="H32" s="5"/>
      <c r="I32" s="5">
        <f t="shared" si="3"/>
        <v>0</v>
      </c>
      <c r="J32" s="5">
        <f t="shared" si="4"/>
        <v>-418.775</v>
      </c>
      <c r="K32" s="5">
        <f t="shared" si="5"/>
        <v>-27382.95</v>
      </c>
      <c r="L32" s="5"/>
      <c r="M32" s="5">
        <v>0</v>
      </c>
      <c r="N32" s="60">
        <v>-837.55</v>
      </c>
      <c r="O32" s="60">
        <v>-28764.75</v>
      </c>
      <c r="P32" s="5"/>
      <c r="Q32" s="5">
        <v>0</v>
      </c>
      <c r="R32" s="60">
        <v>0</v>
      </c>
      <c r="S32" s="60">
        <v>-26001.15</v>
      </c>
      <c r="T32" s="5"/>
      <c r="U32" s="5"/>
      <c r="V32" s="5"/>
      <c r="W32" s="5"/>
      <c r="X32" s="5"/>
      <c r="Y32" s="5"/>
    </row>
    <row r="33" spans="1:25" ht="12.75">
      <c r="A33" s="37">
        <f t="shared" si="6"/>
        <v>17</v>
      </c>
      <c r="B33" s="5" t="s">
        <v>195</v>
      </c>
      <c r="C33" s="5">
        <f t="shared" si="0"/>
        <v>295782.74</v>
      </c>
      <c r="D33" s="5">
        <f t="shared" si="1"/>
        <v>287756.58</v>
      </c>
      <c r="E33" s="5"/>
      <c r="F33" s="5"/>
      <c r="G33" s="5">
        <f t="shared" si="2"/>
        <v>291770</v>
      </c>
      <c r="H33" s="5"/>
      <c r="I33" s="5">
        <f t="shared" si="3"/>
        <v>0</v>
      </c>
      <c r="J33" s="5">
        <f t="shared" si="4"/>
        <v>38065.94</v>
      </c>
      <c r="K33" s="5">
        <f t="shared" si="5"/>
        <v>253703.72</v>
      </c>
      <c r="L33" s="5"/>
      <c r="M33" s="5">
        <v>0</v>
      </c>
      <c r="N33" s="60">
        <v>37608.44</v>
      </c>
      <c r="O33" s="60">
        <v>258174.3</v>
      </c>
      <c r="P33" s="5"/>
      <c r="Q33" s="5">
        <v>0</v>
      </c>
      <c r="R33" s="60">
        <v>38523.44</v>
      </c>
      <c r="S33" s="60">
        <v>249233.14</v>
      </c>
      <c r="T33" s="5"/>
      <c r="U33" s="5"/>
      <c r="V33" s="5"/>
      <c r="W33" s="5"/>
      <c r="X33" s="5"/>
      <c r="Y33" s="5"/>
    </row>
    <row r="34" spans="1:25" ht="12.75">
      <c r="A34" s="37">
        <f t="shared" si="6"/>
        <v>18</v>
      </c>
      <c r="B34" s="61" t="s">
        <v>196</v>
      </c>
      <c r="C34" s="5">
        <f t="shared" si="0"/>
        <v>179331.6</v>
      </c>
      <c r="D34" s="5">
        <f t="shared" si="1"/>
        <v>126744.1</v>
      </c>
      <c r="E34" s="5"/>
      <c r="F34" s="5"/>
      <c r="G34" s="5">
        <f t="shared" si="2"/>
        <v>153038</v>
      </c>
      <c r="H34" s="5"/>
      <c r="I34" s="5">
        <f t="shared" si="3"/>
        <v>0</v>
      </c>
      <c r="J34" s="5">
        <f t="shared" si="4"/>
        <v>19265.05</v>
      </c>
      <c r="K34" s="5">
        <f t="shared" si="5"/>
        <v>133772.8</v>
      </c>
      <c r="L34" s="5"/>
      <c r="M34" s="5">
        <v>0</v>
      </c>
      <c r="N34" s="60">
        <v>21773.5</v>
      </c>
      <c r="O34" s="60">
        <v>157558.1</v>
      </c>
      <c r="P34" s="5"/>
      <c r="Q34" s="5">
        <v>0</v>
      </c>
      <c r="R34" s="60">
        <v>16756.6</v>
      </c>
      <c r="S34" s="60">
        <v>109987.5</v>
      </c>
      <c r="T34" s="5"/>
      <c r="U34" s="5"/>
      <c r="V34" s="5"/>
      <c r="W34" s="5"/>
      <c r="X34" s="5"/>
      <c r="Y34" s="5"/>
    </row>
    <row r="35" spans="1:25" ht="12.75">
      <c r="A35" s="37">
        <f t="shared" si="6"/>
        <v>19</v>
      </c>
      <c r="B35" s="61" t="s">
        <v>197</v>
      </c>
      <c r="C35" s="5">
        <f t="shared" si="0"/>
        <v>893263.7000000001</v>
      </c>
      <c r="D35" s="5">
        <f t="shared" si="1"/>
        <v>739824.05</v>
      </c>
      <c r="E35" s="5"/>
      <c r="F35" s="5"/>
      <c r="G35" s="5">
        <f t="shared" si="2"/>
        <v>816544</v>
      </c>
      <c r="H35" s="5"/>
      <c r="I35" s="5">
        <f t="shared" si="3"/>
        <v>0</v>
      </c>
      <c r="J35" s="5">
        <f t="shared" si="4"/>
        <v>131161.275</v>
      </c>
      <c r="K35" s="5">
        <f t="shared" si="5"/>
        <v>685382.6000000001</v>
      </c>
      <c r="L35" s="5"/>
      <c r="M35" s="5">
        <v>0</v>
      </c>
      <c r="N35" s="60">
        <v>146236.65</v>
      </c>
      <c r="O35" s="60">
        <v>747027.05</v>
      </c>
      <c r="P35" s="5"/>
      <c r="Q35" s="5">
        <v>0</v>
      </c>
      <c r="R35" s="60">
        <v>116085.9</v>
      </c>
      <c r="S35" s="60">
        <v>623738.15</v>
      </c>
      <c r="T35" s="5"/>
      <c r="U35" s="5"/>
      <c r="V35" s="5"/>
      <c r="W35" s="5"/>
      <c r="X35" s="5"/>
      <c r="Y35" s="5"/>
    </row>
    <row r="36" spans="1:25" ht="12.75">
      <c r="A36" s="37">
        <f t="shared" si="6"/>
        <v>20</v>
      </c>
      <c r="B36" s="5" t="s">
        <v>375</v>
      </c>
      <c r="C36" s="5">
        <f t="shared" si="0"/>
        <v>250470.34</v>
      </c>
      <c r="D36" s="5">
        <f t="shared" si="1"/>
        <v>216374.7</v>
      </c>
      <c r="E36" s="5"/>
      <c r="F36" s="5"/>
      <c r="G36" s="5">
        <f t="shared" si="2"/>
        <v>233423</v>
      </c>
      <c r="H36" s="5"/>
      <c r="I36" s="5">
        <f t="shared" si="3"/>
        <v>0</v>
      </c>
      <c r="J36" s="5">
        <f t="shared" si="4"/>
        <v>59796.15</v>
      </c>
      <c r="K36" s="5">
        <f t="shared" si="5"/>
        <v>173626.37</v>
      </c>
      <c r="L36" s="5"/>
      <c r="M36" s="5">
        <v>0</v>
      </c>
      <c r="N36" s="60">
        <v>90620.63</v>
      </c>
      <c r="O36" s="60">
        <v>159849.71</v>
      </c>
      <c r="P36" s="5"/>
      <c r="Q36" s="5">
        <v>0</v>
      </c>
      <c r="R36" s="60">
        <v>28971.67</v>
      </c>
      <c r="S36" s="60">
        <v>187403.03</v>
      </c>
      <c r="T36" s="5"/>
      <c r="U36" s="5"/>
      <c r="V36" s="5"/>
      <c r="W36" s="5"/>
      <c r="X36" s="5"/>
      <c r="Y36" s="5"/>
    </row>
    <row r="37" spans="1:25" ht="12.75">
      <c r="A37" s="37">
        <f t="shared" si="6"/>
        <v>21</v>
      </c>
      <c r="B37" s="61" t="s">
        <v>388</v>
      </c>
      <c r="C37" s="5">
        <f t="shared" si="0"/>
        <v>10808.7</v>
      </c>
      <c r="D37" s="5">
        <f t="shared" si="1"/>
        <v>1958.25</v>
      </c>
      <c r="E37" s="5"/>
      <c r="F37" s="5"/>
      <c r="G37" s="5">
        <f t="shared" si="2"/>
        <v>6383</v>
      </c>
      <c r="H37" s="5"/>
      <c r="I37" s="5">
        <f t="shared" si="3"/>
        <v>0</v>
      </c>
      <c r="J37" s="5">
        <f t="shared" si="4"/>
        <v>7545.825</v>
      </c>
      <c r="K37" s="5">
        <f t="shared" si="5"/>
        <v>-1162.35</v>
      </c>
      <c r="L37" s="5"/>
      <c r="M37" s="5">
        <v>0</v>
      </c>
      <c r="N37" s="60">
        <v>8356.25</v>
      </c>
      <c r="O37" s="60">
        <v>2452.45</v>
      </c>
      <c r="P37" s="5"/>
      <c r="Q37" s="5">
        <v>0</v>
      </c>
      <c r="R37" s="60">
        <v>6735.4</v>
      </c>
      <c r="S37" s="60">
        <v>-4777.15</v>
      </c>
      <c r="T37" s="5"/>
      <c r="U37" s="5"/>
      <c r="V37" s="5"/>
      <c r="W37" s="5"/>
      <c r="X37" s="5"/>
      <c r="Y37" s="5"/>
    </row>
    <row r="38" spans="1:25" ht="12.75">
      <c r="A38" s="37">
        <f t="shared" si="6"/>
        <v>22</v>
      </c>
      <c r="B38" s="61" t="s">
        <v>204</v>
      </c>
      <c r="C38" s="5">
        <f t="shared" si="0"/>
        <v>0</v>
      </c>
      <c r="D38" s="5">
        <f t="shared" si="1"/>
        <v>8</v>
      </c>
      <c r="E38" s="5"/>
      <c r="F38" s="5"/>
      <c r="G38" s="5">
        <f t="shared" si="2"/>
        <v>4</v>
      </c>
      <c r="H38" s="5"/>
      <c r="I38" s="5">
        <f t="shared" si="3"/>
        <v>0</v>
      </c>
      <c r="J38" s="5">
        <f t="shared" si="4"/>
        <v>2</v>
      </c>
      <c r="K38" s="5">
        <f t="shared" si="5"/>
        <v>2</v>
      </c>
      <c r="L38" s="5"/>
      <c r="M38" s="5">
        <v>0</v>
      </c>
      <c r="N38" s="60">
        <f>-4+4</f>
        <v>0</v>
      </c>
      <c r="O38" s="60">
        <f>-4+4</f>
        <v>0</v>
      </c>
      <c r="P38" s="5"/>
      <c r="Q38" s="5">
        <v>0</v>
      </c>
      <c r="R38" s="60">
        <v>4</v>
      </c>
      <c r="S38" s="60">
        <v>4</v>
      </c>
      <c r="T38" s="5"/>
      <c r="U38" s="5"/>
      <c r="V38" s="5"/>
      <c r="W38" s="5"/>
      <c r="X38" s="5"/>
      <c r="Y38" s="5"/>
    </row>
    <row r="39" spans="1:25" ht="12.75">
      <c r="A39" s="37">
        <f t="shared" si="6"/>
        <v>23</v>
      </c>
      <c r="B39" s="62" t="s">
        <v>205</v>
      </c>
      <c r="C39" s="5">
        <f t="shared" si="0"/>
        <v>0</v>
      </c>
      <c r="D39" s="5">
        <f t="shared" si="1"/>
        <v>0</v>
      </c>
      <c r="E39" s="5"/>
      <c r="F39" s="5"/>
      <c r="G39" s="5">
        <f t="shared" si="2"/>
        <v>0</v>
      </c>
      <c r="H39" s="5"/>
      <c r="I39" s="5">
        <f t="shared" si="3"/>
        <v>0</v>
      </c>
      <c r="J39" s="5">
        <f t="shared" si="4"/>
        <v>0</v>
      </c>
      <c r="K39" s="5">
        <f t="shared" si="5"/>
        <v>0</v>
      </c>
      <c r="L39" s="5"/>
      <c r="M39" s="5">
        <v>0</v>
      </c>
      <c r="N39" s="60">
        <v>0</v>
      </c>
      <c r="O39" s="60">
        <f>-37800+37800</f>
        <v>0</v>
      </c>
      <c r="P39" s="5"/>
      <c r="Q39" s="5">
        <v>0</v>
      </c>
      <c r="R39" s="60">
        <v>0</v>
      </c>
      <c r="S39" s="60">
        <v>0</v>
      </c>
      <c r="T39" s="5"/>
      <c r="U39" s="5"/>
      <c r="V39" s="5"/>
      <c r="W39" s="5"/>
      <c r="X39" s="5"/>
      <c r="Y39" s="5"/>
    </row>
    <row r="40" spans="1:25" ht="12.75">
      <c r="A40" s="37">
        <f t="shared" si="6"/>
        <v>24</v>
      </c>
      <c r="B40" s="61" t="s">
        <v>206</v>
      </c>
      <c r="C40" s="5">
        <f t="shared" si="0"/>
        <v>-5448.900000000001</v>
      </c>
      <c r="D40" s="5">
        <f t="shared" si="1"/>
        <v>-871.1999999999998</v>
      </c>
      <c r="E40" s="5"/>
      <c r="F40" s="5"/>
      <c r="G40" s="5">
        <f t="shared" si="2"/>
        <v>-3160</v>
      </c>
      <c r="H40" s="5"/>
      <c r="I40" s="5">
        <f t="shared" si="3"/>
        <v>0</v>
      </c>
      <c r="J40" s="5">
        <f t="shared" si="4"/>
        <v>-505.7750000000001</v>
      </c>
      <c r="K40" s="5">
        <f t="shared" si="5"/>
        <v>-2654.275</v>
      </c>
      <c r="L40" s="5"/>
      <c r="M40" s="5">
        <v>0</v>
      </c>
      <c r="N40" s="60">
        <f>-8827+7963</f>
        <v>-864</v>
      </c>
      <c r="O40" s="60">
        <f>-12547.85+7963-0.05</f>
        <v>-4584.900000000001</v>
      </c>
      <c r="P40" s="5"/>
      <c r="Q40" s="5">
        <v>0</v>
      </c>
      <c r="R40" s="60">
        <f>-8110.55+7963</f>
        <v>-147.55000000000018</v>
      </c>
      <c r="S40" s="60">
        <f>-8686.65+7963</f>
        <v>-723.6499999999996</v>
      </c>
      <c r="T40" s="5"/>
      <c r="U40" s="5"/>
      <c r="V40" s="5"/>
      <c r="W40" s="5"/>
      <c r="X40" s="5"/>
      <c r="Y40" s="5"/>
    </row>
    <row r="41" spans="1:25" ht="12.75">
      <c r="A41" s="37">
        <f t="shared" si="6"/>
        <v>25</v>
      </c>
      <c r="B41" s="61" t="s">
        <v>444</v>
      </c>
      <c r="C41" s="5">
        <f t="shared" si="0"/>
        <v>-9423.75</v>
      </c>
      <c r="D41" s="5">
        <f t="shared" si="1"/>
        <v>-4374.299999999999</v>
      </c>
      <c r="E41" s="5"/>
      <c r="F41" s="5"/>
      <c r="G41" s="5">
        <f t="shared" si="2"/>
        <v>-6899</v>
      </c>
      <c r="H41" s="5"/>
      <c r="I41" s="5">
        <f t="shared" si="3"/>
        <v>0</v>
      </c>
      <c r="J41" s="5">
        <f t="shared" si="4"/>
        <v>-7196.35</v>
      </c>
      <c r="K41" s="5">
        <f t="shared" si="5"/>
        <v>297.32499999999993</v>
      </c>
      <c r="L41" s="5"/>
      <c r="M41" s="5">
        <v>0</v>
      </c>
      <c r="N41" s="60">
        <v>-7652.05</v>
      </c>
      <c r="O41" s="60">
        <v>-1771.7</v>
      </c>
      <c r="P41" s="5"/>
      <c r="Q41" s="5">
        <v>0</v>
      </c>
      <c r="R41" s="60">
        <v>-6740.65</v>
      </c>
      <c r="S41" s="60">
        <v>2366.35</v>
      </c>
      <c r="T41" s="5"/>
      <c r="U41" s="5"/>
      <c r="V41" s="5"/>
      <c r="W41" s="5"/>
      <c r="X41" s="5"/>
      <c r="Y41" s="5"/>
    </row>
    <row r="42" spans="1:25" ht="12.75">
      <c r="A42" s="37">
        <f t="shared" si="6"/>
        <v>26</v>
      </c>
      <c r="B42" s="62" t="s">
        <v>445</v>
      </c>
      <c r="C42" s="5">
        <f t="shared" si="0"/>
        <v>5853</v>
      </c>
      <c r="D42" s="5">
        <f t="shared" si="1"/>
        <v>0</v>
      </c>
      <c r="E42" s="5"/>
      <c r="F42" s="5"/>
      <c r="G42" s="5">
        <f t="shared" si="2"/>
        <v>2927</v>
      </c>
      <c r="H42" s="5"/>
      <c r="I42" s="5">
        <f t="shared" si="3"/>
        <v>0</v>
      </c>
      <c r="J42" s="5">
        <f t="shared" si="4"/>
        <v>1139.5</v>
      </c>
      <c r="K42" s="5">
        <f t="shared" si="5"/>
        <v>1787</v>
      </c>
      <c r="L42" s="5"/>
      <c r="M42" s="5">
        <v>0</v>
      </c>
      <c r="N42" s="60">
        <v>2279</v>
      </c>
      <c r="O42" s="60">
        <v>3574</v>
      </c>
      <c r="P42" s="5"/>
      <c r="Q42" s="5">
        <v>0</v>
      </c>
      <c r="R42" s="60">
        <v>0</v>
      </c>
      <c r="S42" s="60">
        <v>0</v>
      </c>
      <c r="T42" s="5"/>
      <c r="U42" s="5"/>
      <c r="V42" s="5"/>
      <c r="W42" s="5"/>
      <c r="X42" s="5"/>
      <c r="Y42" s="5"/>
    </row>
    <row r="43" spans="1:25" ht="12.75">
      <c r="A43" s="37">
        <f t="shared" si="6"/>
        <v>27</v>
      </c>
      <c r="B43" s="5"/>
      <c r="C43" s="5"/>
      <c r="D43" s="5"/>
      <c r="E43" s="5"/>
      <c r="F43" s="5"/>
      <c r="G43" s="5">
        <f t="shared" si="2"/>
        <v>0</v>
      </c>
      <c r="H43" s="5"/>
      <c r="I43" s="5"/>
      <c r="J43" s="5"/>
      <c r="K43" s="5"/>
      <c r="L43" s="5"/>
      <c r="M43" s="5"/>
      <c r="P43" s="5"/>
      <c r="Q43" s="5"/>
      <c r="T43" s="5"/>
      <c r="U43" s="5"/>
      <c r="V43" s="5"/>
      <c r="W43" s="5"/>
      <c r="X43" s="5"/>
      <c r="Y43" s="5"/>
    </row>
    <row r="44" spans="1:25" ht="12.75">
      <c r="A44" s="37">
        <f t="shared" si="6"/>
        <v>28</v>
      </c>
      <c r="B44" s="5" t="s">
        <v>25</v>
      </c>
      <c r="C44" s="5">
        <v>41756.58</v>
      </c>
      <c r="D44" s="5">
        <v>22829.02</v>
      </c>
      <c r="E44" s="5">
        <f aca="true" t="shared" si="7" ref="E44:F49">-C44</f>
        <v>-41756.58</v>
      </c>
      <c r="F44" s="5">
        <f t="shared" si="7"/>
        <v>-22829.02</v>
      </c>
      <c r="G44" s="5">
        <f t="shared" si="2"/>
        <v>0</v>
      </c>
      <c r="H44" s="5"/>
      <c r="I44" s="5"/>
      <c r="J44" s="5"/>
      <c r="K44" s="5"/>
      <c r="L44" s="5"/>
      <c r="M44" s="5"/>
      <c r="P44" s="5"/>
      <c r="Q44" s="5"/>
      <c r="T44" s="5"/>
      <c r="U44" s="5"/>
      <c r="V44" s="5"/>
      <c r="W44" s="5"/>
      <c r="X44" s="5"/>
      <c r="Y44" s="5"/>
    </row>
    <row r="45" spans="1:25" ht="12.75">
      <c r="A45" s="37">
        <f t="shared" si="6"/>
        <v>29</v>
      </c>
      <c r="B45" s="5" t="s">
        <v>215</v>
      </c>
      <c r="C45" s="63">
        <v>794953.29</v>
      </c>
      <c r="D45" s="63">
        <v>901444.95</v>
      </c>
      <c r="E45" s="5">
        <f t="shared" si="7"/>
        <v>-794953.29</v>
      </c>
      <c r="F45" s="5">
        <f t="shared" si="7"/>
        <v>-901444.95</v>
      </c>
      <c r="G45" s="5">
        <f t="shared" si="2"/>
        <v>0</v>
      </c>
      <c r="H45" s="5"/>
      <c r="I45" s="5"/>
      <c r="J45" s="5"/>
      <c r="K45" s="5"/>
      <c r="L45" s="5"/>
      <c r="M45" s="5"/>
      <c r="P45" s="5"/>
      <c r="Q45" s="5"/>
      <c r="T45" s="5"/>
      <c r="U45" s="5"/>
      <c r="V45" s="5"/>
      <c r="W45" s="5"/>
      <c r="X45" s="5"/>
      <c r="Y45" s="5"/>
    </row>
    <row r="46" spans="1:25" ht="12.75">
      <c r="A46" s="37">
        <f t="shared" si="6"/>
        <v>30</v>
      </c>
      <c r="B46" s="5" t="s">
        <v>216</v>
      </c>
      <c r="C46" s="5">
        <v>7053.84</v>
      </c>
      <c r="D46" s="5">
        <v>8953</v>
      </c>
      <c r="E46" s="5">
        <f t="shared" si="7"/>
        <v>-7053.84</v>
      </c>
      <c r="F46" s="5">
        <f t="shared" si="7"/>
        <v>-8953</v>
      </c>
      <c r="G46" s="5">
        <f t="shared" si="2"/>
        <v>0</v>
      </c>
      <c r="H46" s="5"/>
      <c r="I46" s="5"/>
      <c r="J46" s="5"/>
      <c r="K46" s="5"/>
      <c r="L46" s="5"/>
      <c r="M46" s="5"/>
      <c r="P46" s="5"/>
      <c r="Q46" s="5"/>
      <c r="T46" s="5"/>
      <c r="U46" s="5"/>
      <c r="V46" s="5"/>
      <c r="W46" s="5"/>
      <c r="X46" s="5"/>
      <c r="Y46" s="5"/>
    </row>
    <row r="47" spans="1:25" ht="12.75">
      <c r="A47" s="37">
        <f t="shared" si="6"/>
        <v>31</v>
      </c>
      <c r="B47" s="5" t="s">
        <v>217</v>
      </c>
      <c r="C47" s="5">
        <v>1482</v>
      </c>
      <c r="D47" s="5">
        <v>0</v>
      </c>
      <c r="E47" s="5">
        <f t="shared" si="7"/>
        <v>-1482</v>
      </c>
      <c r="F47" s="5">
        <f t="shared" si="7"/>
        <v>0</v>
      </c>
      <c r="G47" s="5">
        <f t="shared" si="2"/>
        <v>0</v>
      </c>
      <c r="H47" s="5"/>
      <c r="I47" s="5"/>
      <c r="J47" s="5"/>
      <c r="K47" s="5"/>
      <c r="L47" s="5"/>
      <c r="M47" s="5"/>
      <c r="P47" s="5"/>
      <c r="Q47" s="5"/>
      <c r="T47" s="5"/>
      <c r="U47" s="5"/>
      <c r="V47" s="5"/>
      <c r="W47" s="5"/>
      <c r="X47" s="5"/>
      <c r="Y47" s="5"/>
    </row>
    <row r="48" spans="1:25" ht="12.75">
      <c r="A48" s="37">
        <f t="shared" si="6"/>
        <v>32</v>
      </c>
      <c r="B48" s="6" t="s">
        <v>218</v>
      </c>
      <c r="C48" s="5">
        <v>0</v>
      </c>
      <c r="D48" s="5">
        <v>0</v>
      </c>
      <c r="E48" s="5">
        <f t="shared" si="7"/>
        <v>0</v>
      </c>
      <c r="F48" s="5">
        <f t="shared" si="7"/>
        <v>0</v>
      </c>
      <c r="G48" s="5">
        <f t="shared" si="2"/>
        <v>0</v>
      </c>
      <c r="H48" s="5"/>
      <c r="I48" s="5"/>
      <c r="J48" s="5"/>
      <c r="K48" s="5"/>
      <c r="L48" s="5"/>
      <c r="M48" s="5"/>
      <c r="P48" s="5"/>
      <c r="Q48" s="5"/>
      <c r="T48" s="5"/>
      <c r="U48" s="5"/>
      <c r="V48" s="5"/>
      <c r="W48" s="5"/>
      <c r="X48" s="5"/>
      <c r="Y48" s="5"/>
    </row>
    <row r="49" spans="1:25" ht="12.75">
      <c r="A49" s="37">
        <f t="shared" si="6"/>
        <v>33</v>
      </c>
      <c r="B49" s="6" t="s">
        <v>390</v>
      </c>
      <c r="C49" s="5">
        <v>0</v>
      </c>
      <c r="D49" s="5">
        <v>0</v>
      </c>
      <c r="E49" s="5">
        <f t="shared" si="7"/>
        <v>0</v>
      </c>
      <c r="F49" s="5">
        <f t="shared" si="7"/>
        <v>0</v>
      </c>
      <c r="G49" s="5">
        <f t="shared" si="2"/>
        <v>0</v>
      </c>
      <c r="H49" s="5"/>
      <c r="I49" s="5"/>
      <c r="J49" s="5"/>
      <c r="K49" s="5"/>
      <c r="L49" s="5"/>
      <c r="M49" s="5"/>
      <c r="P49" s="5"/>
      <c r="Q49" s="5"/>
      <c r="T49" s="5"/>
      <c r="U49" s="5"/>
      <c r="V49" s="5"/>
      <c r="W49" s="5"/>
      <c r="X49" s="5"/>
      <c r="Y49" s="5"/>
    </row>
    <row r="50" spans="1:25" ht="12.75">
      <c r="A50" s="37">
        <f t="shared" si="6"/>
        <v>34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  <c r="Q50" s="5"/>
      <c r="T50" s="5"/>
      <c r="U50" s="5"/>
      <c r="V50" s="5"/>
      <c r="W50" s="5"/>
      <c r="X50" s="5"/>
      <c r="Y50" s="5"/>
    </row>
    <row r="51" spans="1:25" ht="13.5" thickBot="1">
      <c r="A51" s="37">
        <f t="shared" si="6"/>
        <v>35</v>
      </c>
      <c r="B51" s="6" t="s">
        <v>222</v>
      </c>
      <c r="C51" s="17">
        <f>SUM(C17:C50)</f>
        <v>1805424.8399999999</v>
      </c>
      <c r="D51" s="17">
        <f>SUM(D17:D50)</f>
        <v>1555991.1399999997</v>
      </c>
      <c r="E51" s="17">
        <f>SUM(E17:E50)</f>
        <v>-845245.71</v>
      </c>
      <c r="F51" s="17">
        <f>SUM(F17:F50)</f>
        <v>-933226.97</v>
      </c>
      <c r="G51" s="17">
        <f>SUM(G17:G50)</f>
        <v>791474</v>
      </c>
      <c r="H51" s="17"/>
      <c r="I51" s="17">
        <f>SUM(I17:I50)</f>
        <v>0</v>
      </c>
      <c r="J51" s="17">
        <f>SUM(J17:J50)</f>
        <v>77257.55500000004</v>
      </c>
      <c r="K51" s="17">
        <f>SUM(K17:K50)</f>
        <v>714214.0949999999</v>
      </c>
      <c r="L51" s="17"/>
      <c r="M51" s="17">
        <f>SUM(M17:M50)</f>
        <v>0</v>
      </c>
      <c r="N51" s="14">
        <f>SUM(N17:N50)</f>
        <v>116791.68000000001</v>
      </c>
      <c r="O51" s="14">
        <f>SUM(O17:O50)</f>
        <v>843387.4500000001</v>
      </c>
      <c r="P51" s="5"/>
      <c r="Q51" s="17">
        <f>SUM(Q17:Q50)</f>
        <v>0</v>
      </c>
      <c r="R51" s="14">
        <f>SUM(R17:R50)</f>
        <v>37723.42999999999</v>
      </c>
      <c r="S51" s="14">
        <f>SUM(S17:S50)</f>
        <v>585040.7399999999</v>
      </c>
      <c r="T51" s="5"/>
      <c r="U51" s="5"/>
      <c r="V51" s="5"/>
      <c r="W51" s="5"/>
      <c r="X51" s="5"/>
      <c r="Y51" s="5"/>
    </row>
    <row r="52" spans="1:25" ht="13.5" thickTop="1">
      <c r="A52" s="37"/>
      <c r="B52" s="5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64"/>
      <c r="O52" s="64"/>
      <c r="P52" s="5"/>
      <c r="Q52" s="18"/>
      <c r="R52" s="64"/>
      <c r="S52" s="64"/>
      <c r="T52" s="5"/>
      <c r="U52" s="5"/>
      <c r="V52" s="5"/>
      <c r="W52" s="5"/>
      <c r="X52" s="5"/>
      <c r="Y52" s="5"/>
    </row>
    <row r="53" spans="1:25" ht="12.75">
      <c r="A53" s="36"/>
      <c r="B53" s="5"/>
      <c r="C53" s="5"/>
      <c r="D53" s="5" t="s">
        <v>24</v>
      </c>
      <c r="E53" s="5"/>
      <c r="F53" s="5"/>
      <c r="G53" s="5"/>
      <c r="H53" s="5"/>
      <c r="I53" s="5"/>
      <c r="J53" s="5"/>
      <c r="K53" s="5"/>
      <c r="L53" s="5"/>
      <c r="M53" s="5"/>
      <c r="P53" s="5"/>
      <c r="Q53" s="5"/>
      <c r="T53" s="5"/>
      <c r="U53" s="5"/>
      <c r="V53" s="5"/>
      <c r="W53" s="5"/>
      <c r="X53" s="5"/>
      <c r="Y53" s="5"/>
    </row>
    <row r="54" spans="1:25" ht="12.75">
      <c r="A54" s="36"/>
      <c r="B54" s="5"/>
      <c r="C54" s="5"/>
      <c r="D54" s="5" t="s">
        <v>24</v>
      </c>
      <c r="E54" s="5"/>
      <c r="F54" s="5"/>
      <c r="G54" s="5"/>
      <c r="H54" s="5"/>
      <c r="I54" s="5"/>
      <c r="J54" s="5"/>
      <c r="K54" s="5"/>
      <c r="L54" s="5"/>
      <c r="M54" s="5"/>
      <c r="P54" s="5"/>
      <c r="Q54" s="5"/>
      <c r="T54" s="5"/>
      <c r="U54" s="5"/>
      <c r="V54" s="5"/>
      <c r="W54" s="5"/>
      <c r="X54" s="5"/>
      <c r="Y54" s="5"/>
    </row>
    <row r="55" spans="1:25" ht="12.75">
      <c r="A55" s="36"/>
      <c r="B55" s="5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  <c r="Q55" s="5"/>
      <c r="T55" s="5"/>
      <c r="U55" s="5"/>
      <c r="V55" s="5"/>
      <c r="W55" s="5"/>
      <c r="X55" s="5"/>
      <c r="Y55" s="5"/>
    </row>
    <row r="56" spans="1:25" ht="12.75">
      <c r="A56" s="36"/>
      <c r="B56" s="5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  <c r="Q56" s="5"/>
      <c r="T56" s="5"/>
      <c r="U56" s="5"/>
      <c r="V56" s="5"/>
      <c r="W56" s="5"/>
      <c r="X56" s="5"/>
      <c r="Y56" s="5"/>
    </row>
    <row r="57" spans="1:25" ht="12.75">
      <c r="A57" s="36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  <c r="Q57" s="5"/>
      <c r="T57" s="5"/>
      <c r="U57" s="5"/>
      <c r="V57" s="5"/>
      <c r="W57" s="5"/>
      <c r="X57" s="5"/>
      <c r="Y57" s="5"/>
    </row>
    <row r="58" spans="1:25" ht="12.75">
      <c r="A58" s="36"/>
      <c r="B58" s="5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  <c r="Q58" s="5"/>
      <c r="T58" s="5"/>
      <c r="U58" s="5"/>
      <c r="V58" s="5"/>
      <c r="W58" s="5"/>
      <c r="X58" s="5"/>
      <c r="Y58" s="5"/>
    </row>
    <row r="59" spans="1:25" ht="12.75">
      <c r="A59" s="36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  <c r="Q59" s="5"/>
      <c r="T59" s="5"/>
      <c r="U59" s="5"/>
      <c r="V59" s="5"/>
      <c r="W59" s="5"/>
      <c r="X59" s="5"/>
      <c r="Y59" s="5"/>
    </row>
    <row r="60" spans="1:25" ht="12.75">
      <c r="A60" s="3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  <c r="Q60" s="5"/>
      <c r="T60" s="5"/>
      <c r="U60" s="5"/>
      <c r="V60" s="5"/>
      <c r="W60" s="5"/>
      <c r="X60" s="5"/>
      <c r="Y60" s="5"/>
    </row>
    <row r="61" spans="2:25" ht="12.75">
      <c r="B61" s="5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  <c r="Q61" s="5"/>
      <c r="T61" s="5"/>
      <c r="U61" s="5"/>
      <c r="V61" s="5"/>
      <c r="W61" s="5"/>
      <c r="X61" s="5"/>
      <c r="Y61" s="5"/>
    </row>
    <row r="62" spans="2:25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  <c r="Q62" s="5"/>
      <c r="T62" s="5"/>
      <c r="U62" s="5"/>
      <c r="V62" s="5"/>
      <c r="W62" s="5"/>
      <c r="X62" s="5"/>
      <c r="Y62" s="5"/>
    </row>
    <row r="63" spans="2:25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  <c r="Q63" s="5"/>
      <c r="T63" s="5"/>
      <c r="U63" s="5"/>
      <c r="V63" s="5"/>
      <c r="W63" s="5"/>
      <c r="X63" s="5"/>
      <c r="Y63" s="5"/>
    </row>
    <row r="64" spans="2:25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  <c r="Q64" s="5"/>
      <c r="T64" s="5"/>
      <c r="U64" s="5"/>
      <c r="V64" s="5"/>
      <c r="W64" s="5"/>
      <c r="X64" s="5"/>
      <c r="Y64" s="5"/>
    </row>
    <row r="65" spans="2:25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  <c r="Q65" s="5"/>
      <c r="T65" s="5"/>
      <c r="U65" s="5"/>
      <c r="V65" s="5"/>
      <c r="W65" s="5"/>
      <c r="X65" s="5"/>
      <c r="Y65" s="5"/>
    </row>
    <row r="66" spans="2:25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  <c r="Q66" s="5"/>
      <c r="T66" s="5"/>
      <c r="U66" s="5"/>
      <c r="V66" s="5"/>
      <c r="W66" s="5"/>
      <c r="X66" s="5"/>
      <c r="Y66" s="5"/>
    </row>
    <row r="67" spans="2:25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  <c r="Q67" s="5"/>
      <c r="T67" s="5"/>
      <c r="U67" s="5"/>
      <c r="V67" s="5"/>
      <c r="W67" s="5"/>
      <c r="X67" s="5"/>
      <c r="Y67" s="5"/>
    </row>
    <row r="68" spans="2:25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  <c r="Q68" s="5"/>
      <c r="T68" s="5"/>
      <c r="U68" s="5"/>
      <c r="V68" s="5"/>
      <c r="W68" s="5"/>
      <c r="X68" s="5"/>
      <c r="Y68" s="5"/>
    </row>
    <row r="69" spans="2:25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  <c r="Q69" s="5"/>
      <c r="T69" s="5"/>
      <c r="U69" s="5"/>
      <c r="V69" s="5"/>
      <c r="W69" s="5"/>
      <c r="X69" s="5"/>
      <c r="Y69" s="5"/>
    </row>
    <row r="70" spans="2:25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  <c r="Q70" s="5"/>
      <c r="T70" s="5"/>
      <c r="U70" s="5"/>
      <c r="V70" s="5"/>
      <c r="W70" s="5"/>
      <c r="X70" s="5"/>
      <c r="Y70" s="5"/>
    </row>
    <row r="71" spans="2:25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  <c r="Q71" s="5"/>
      <c r="T71" s="5"/>
      <c r="U71" s="5"/>
      <c r="V71" s="5"/>
      <c r="W71" s="5"/>
      <c r="X71" s="5"/>
      <c r="Y71" s="5"/>
    </row>
    <row r="72" spans="2:25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  <c r="Q72" s="5"/>
      <c r="T72" s="5"/>
      <c r="U72" s="5"/>
      <c r="V72" s="5"/>
      <c r="W72" s="5"/>
      <c r="X72" s="5"/>
      <c r="Y72" s="5"/>
    </row>
    <row r="73" spans="2:25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  <c r="Q73" s="5"/>
      <c r="T73" s="5"/>
      <c r="U73" s="5"/>
      <c r="V73" s="5"/>
      <c r="W73" s="5"/>
      <c r="X73" s="5"/>
      <c r="Y73" s="5"/>
    </row>
    <row r="74" spans="2:25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  <c r="Q74" s="5"/>
      <c r="T74" s="5"/>
      <c r="U74" s="5"/>
      <c r="V74" s="5"/>
      <c r="W74" s="5"/>
      <c r="X74" s="5"/>
      <c r="Y74" s="5"/>
    </row>
    <row r="75" spans="2:25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  <c r="Q75" s="5"/>
      <c r="T75" s="5"/>
      <c r="U75" s="5"/>
      <c r="V75" s="5"/>
      <c r="W75" s="5"/>
      <c r="X75" s="5"/>
      <c r="Y75" s="5"/>
    </row>
    <row r="76" spans="2:25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  <c r="Q76" s="5"/>
      <c r="T76" s="5"/>
      <c r="U76" s="5"/>
      <c r="V76" s="5"/>
      <c r="W76" s="5"/>
      <c r="X76" s="5"/>
      <c r="Y76" s="5"/>
    </row>
    <row r="77" spans="2:25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  <c r="Q77" s="5"/>
      <c r="T77" s="5"/>
      <c r="U77" s="5"/>
      <c r="V77" s="5"/>
      <c r="W77" s="5"/>
      <c r="X77" s="5"/>
      <c r="Y77" s="5"/>
    </row>
    <row r="78" spans="2:25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  <c r="Q78" s="5"/>
      <c r="T78" s="5"/>
      <c r="U78" s="5"/>
      <c r="V78" s="5"/>
      <c r="W78" s="5"/>
      <c r="X78" s="5"/>
      <c r="Y78" s="5"/>
    </row>
    <row r="79" spans="2:25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  <c r="Q79" s="5"/>
      <c r="T79" s="5"/>
      <c r="U79" s="5"/>
      <c r="V79" s="5"/>
      <c r="W79" s="5"/>
      <c r="X79" s="5"/>
      <c r="Y79" s="5"/>
    </row>
    <row r="80" spans="2:25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  <c r="Q80" s="5"/>
      <c r="T80" s="5"/>
      <c r="U80" s="5"/>
      <c r="V80" s="5"/>
      <c r="W80" s="5"/>
      <c r="X80" s="5"/>
      <c r="Y80" s="5"/>
    </row>
    <row r="81" spans="2:25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  <c r="Q81" s="5"/>
      <c r="T81" s="5"/>
      <c r="U81" s="5"/>
      <c r="V81" s="5"/>
      <c r="W81" s="5"/>
      <c r="X81" s="5"/>
      <c r="Y81" s="5"/>
    </row>
    <row r="82" spans="2:2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  <c r="Q82" s="5"/>
      <c r="T82" s="5"/>
      <c r="U82" s="5"/>
      <c r="V82" s="5"/>
      <c r="W82" s="5"/>
      <c r="X82" s="5"/>
      <c r="Y82" s="5"/>
    </row>
    <row r="83" spans="2:2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  <c r="Q83" s="5"/>
      <c r="T83" s="5"/>
      <c r="U83" s="5"/>
      <c r="V83" s="5"/>
      <c r="W83" s="5"/>
      <c r="X83" s="5"/>
      <c r="Y83" s="5"/>
    </row>
    <row r="84" spans="2:2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  <c r="Q84" s="5"/>
      <c r="T84" s="5"/>
      <c r="U84" s="5"/>
      <c r="V84" s="5"/>
      <c r="W84" s="5"/>
      <c r="X84" s="5"/>
      <c r="Y84" s="5"/>
    </row>
    <row r="85" spans="2:2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  <c r="Q85" s="5"/>
      <c r="T85" s="5"/>
      <c r="U85" s="5"/>
      <c r="V85" s="5"/>
      <c r="W85" s="5"/>
      <c r="X85" s="5"/>
      <c r="Y85" s="5"/>
    </row>
    <row r="86" spans="2:2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  <c r="Q86" s="5"/>
      <c r="T86" s="5"/>
      <c r="U86" s="5"/>
      <c r="V86" s="5"/>
      <c r="W86" s="5"/>
      <c r="X86" s="5"/>
      <c r="Y86" s="5"/>
    </row>
    <row r="87" spans="2:2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  <c r="Q87" s="5"/>
      <c r="T87" s="5"/>
      <c r="U87" s="5"/>
      <c r="V87" s="5"/>
      <c r="W87" s="5"/>
      <c r="X87" s="5"/>
      <c r="Y87" s="5"/>
    </row>
    <row r="88" spans="2:2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  <c r="Q88" s="5"/>
      <c r="T88" s="5"/>
      <c r="U88" s="5"/>
      <c r="V88" s="5"/>
      <c r="W88" s="5"/>
      <c r="X88" s="5"/>
      <c r="Y88" s="5"/>
    </row>
    <row r="89" spans="2:2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  <c r="Q89" s="5"/>
      <c r="T89" s="5"/>
      <c r="U89" s="5"/>
      <c r="V89" s="5"/>
      <c r="W89" s="5"/>
      <c r="X89" s="5"/>
      <c r="Y89" s="5"/>
    </row>
    <row r="90" spans="2:2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  <c r="Q90" s="5"/>
      <c r="T90" s="5"/>
      <c r="U90" s="5"/>
      <c r="V90" s="5"/>
      <c r="W90" s="5"/>
      <c r="X90" s="5"/>
      <c r="Y90" s="5"/>
    </row>
    <row r="91" spans="2:2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  <c r="Q91" s="5"/>
      <c r="T91" s="5"/>
      <c r="U91" s="5"/>
      <c r="V91" s="5"/>
      <c r="W91" s="5"/>
      <c r="X91" s="5"/>
      <c r="Y91" s="5"/>
    </row>
    <row r="92" spans="2:2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  <c r="Q92" s="5"/>
      <c r="T92" s="5"/>
      <c r="U92" s="5"/>
      <c r="V92" s="5"/>
      <c r="W92" s="5"/>
      <c r="X92" s="5"/>
      <c r="Y92" s="5"/>
    </row>
    <row r="93" spans="2:2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  <c r="Q93" s="5"/>
      <c r="T93" s="5"/>
      <c r="U93" s="5"/>
      <c r="V93" s="5"/>
      <c r="W93" s="5"/>
      <c r="X93" s="5"/>
      <c r="Y93" s="5"/>
    </row>
    <row r="94" spans="2:2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  <c r="Q94" s="5"/>
      <c r="T94" s="5"/>
      <c r="U94" s="5"/>
      <c r="V94" s="5"/>
      <c r="W94" s="5"/>
      <c r="X94" s="5"/>
      <c r="Y94" s="5"/>
    </row>
    <row r="95" spans="2:2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  <c r="Q95" s="5"/>
      <c r="T95" s="5"/>
      <c r="U95" s="5"/>
      <c r="V95" s="5"/>
      <c r="W95" s="5"/>
      <c r="X95" s="5"/>
      <c r="Y95" s="5"/>
    </row>
    <row r="96" spans="2:2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  <c r="Q96" s="5"/>
      <c r="T96" s="5"/>
      <c r="U96" s="5"/>
      <c r="V96" s="5"/>
      <c r="W96" s="5"/>
      <c r="X96" s="5"/>
      <c r="Y96" s="5"/>
    </row>
    <row r="97" spans="2:2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  <c r="Q97" s="5"/>
      <c r="T97" s="5"/>
      <c r="U97" s="5"/>
      <c r="V97" s="5"/>
      <c r="W97" s="5"/>
      <c r="X97" s="5"/>
      <c r="Y97" s="5"/>
    </row>
    <row r="98" spans="2:2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P98" s="5"/>
      <c r="Q98" s="5"/>
      <c r="T98" s="5"/>
      <c r="U98" s="5"/>
      <c r="V98" s="5"/>
      <c r="W98" s="5"/>
      <c r="X98" s="5"/>
      <c r="Y98" s="5"/>
    </row>
    <row r="99" spans="2:2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P99" s="5"/>
      <c r="Q99" s="5"/>
      <c r="T99" s="5"/>
      <c r="U99" s="5"/>
      <c r="V99" s="5"/>
      <c r="W99" s="5"/>
      <c r="X99" s="5"/>
      <c r="Y99" s="5"/>
    </row>
    <row r="100" spans="2:2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P100" s="5"/>
      <c r="Q100" s="5"/>
      <c r="T100" s="5"/>
      <c r="U100" s="5"/>
      <c r="V100" s="5"/>
      <c r="W100" s="5"/>
      <c r="X100" s="5"/>
      <c r="Y100" s="5"/>
    </row>
    <row r="101" spans="2:2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P101" s="5"/>
      <c r="Q101" s="5"/>
      <c r="T101" s="5"/>
      <c r="U101" s="5"/>
      <c r="V101" s="5"/>
      <c r="W101" s="5"/>
      <c r="X101" s="5"/>
      <c r="Y101" s="5"/>
    </row>
    <row r="102" spans="2:2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P102" s="5"/>
      <c r="Q102" s="5"/>
      <c r="T102" s="5"/>
      <c r="U102" s="5"/>
      <c r="V102" s="5"/>
      <c r="W102" s="5"/>
      <c r="X102" s="5"/>
      <c r="Y102" s="5"/>
    </row>
    <row r="103" spans="2:2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P103" s="5"/>
      <c r="Q103" s="5"/>
      <c r="T103" s="5"/>
      <c r="U103" s="5"/>
      <c r="V103" s="5"/>
      <c r="W103" s="5"/>
      <c r="X103" s="5"/>
      <c r="Y103" s="5"/>
    </row>
    <row r="104" spans="2:2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P104" s="5"/>
      <c r="Q104" s="5"/>
      <c r="T104" s="5"/>
      <c r="U104" s="5"/>
      <c r="V104" s="5"/>
      <c r="W104" s="5"/>
      <c r="X104" s="5"/>
      <c r="Y104" s="5"/>
    </row>
    <row r="105" spans="2:2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P105" s="5"/>
      <c r="Q105" s="5"/>
      <c r="T105" s="5"/>
      <c r="U105" s="5"/>
      <c r="V105" s="5"/>
      <c r="W105" s="5"/>
      <c r="X105" s="5"/>
      <c r="Y105" s="5"/>
    </row>
    <row r="106" spans="2:2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P106" s="5"/>
      <c r="Q106" s="5"/>
      <c r="T106" s="5"/>
      <c r="U106" s="5"/>
      <c r="V106" s="5"/>
      <c r="W106" s="5"/>
      <c r="X106" s="5"/>
      <c r="Y106" s="5"/>
    </row>
    <row r="107" spans="2:2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P107" s="5"/>
      <c r="Q107" s="5"/>
      <c r="T107" s="5"/>
      <c r="U107" s="5"/>
      <c r="V107" s="5"/>
      <c r="W107" s="5"/>
      <c r="X107" s="5"/>
      <c r="Y107" s="5"/>
    </row>
    <row r="108" spans="2:2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P108" s="5"/>
      <c r="Q108" s="5"/>
      <c r="T108" s="5"/>
      <c r="U108" s="5"/>
      <c r="V108" s="5"/>
      <c r="W108" s="5"/>
      <c r="X108" s="5"/>
      <c r="Y108" s="5"/>
    </row>
    <row r="109" spans="2:2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P109" s="5"/>
      <c r="Q109" s="5"/>
      <c r="T109" s="5"/>
      <c r="U109" s="5"/>
      <c r="V109" s="5"/>
      <c r="W109" s="5"/>
      <c r="X109" s="5"/>
      <c r="Y109" s="5"/>
    </row>
    <row r="110" spans="2:2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P110" s="5"/>
      <c r="Q110" s="5"/>
      <c r="T110" s="5"/>
      <c r="U110" s="5"/>
      <c r="V110" s="5"/>
      <c r="W110" s="5"/>
      <c r="X110" s="5"/>
      <c r="Y110" s="5"/>
    </row>
    <row r="111" spans="2:2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P111" s="5"/>
      <c r="Q111" s="5"/>
      <c r="T111" s="5"/>
      <c r="U111" s="5"/>
      <c r="V111" s="5"/>
      <c r="W111" s="5"/>
      <c r="X111" s="5"/>
      <c r="Y111" s="5"/>
    </row>
    <row r="112" spans="2:2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P112" s="5"/>
      <c r="Q112" s="5"/>
      <c r="T112" s="5"/>
      <c r="U112" s="5"/>
      <c r="V112" s="5"/>
      <c r="W112" s="5"/>
      <c r="X112" s="5"/>
      <c r="Y112" s="5"/>
    </row>
    <row r="113" spans="2:2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P113" s="5"/>
      <c r="Q113" s="5"/>
      <c r="T113" s="5"/>
      <c r="U113" s="5"/>
      <c r="V113" s="5"/>
      <c r="W113" s="5"/>
      <c r="X113" s="5"/>
      <c r="Y113" s="5"/>
    </row>
    <row r="114" spans="2:2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P114" s="5"/>
      <c r="Q114" s="5"/>
      <c r="T114" s="5"/>
      <c r="U114" s="5"/>
      <c r="V114" s="5"/>
      <c r="W114" s="5"/>
      <c r="X114" s="5"/>
      <c r="Y114" s="5"/>
    </row>
    <row r="115" spans="2:2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P115" s="5"/>
      <c r="Q115" s="5"/>
      <c r="T115" s="5"/>
      <c r="U115" s="5"/>
      <c r="V115" s="5"/>
      <c r="W115" s="5"/>
      <c r="X115" s="5"/>
      <c r="Y115" s="5"/>
    </row>
    <row r="116" spans="2:2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P116" s="5"/>
      <c r="Q116" s="5"/>
      <c r="T116" s="5"/>
      <c r="U116" s="5"/>
      <c r="V116" s="5"/>
      <c r="W116" s="5"/>
      <c r="X116" s="5"/>
      <c r="Y116" s="5"/>
    </row>
    <row r="117" spans="2:2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P117" s="5"/>
      <c r="Q117" s="5"/>
      <c r="T117" s="5"/>
      <c r="U117" s="5"/>
      <c r="V117" s="5"/>
      <c r="W117" s="5"/>
      <c r="X117" s="5"/>
      <c r="Y117" s="5"/>
    </row>
    <row r="118" spans="2:2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P118" s="5"/>
      <c r="Q118" s="5"/>
      <c r="T118" s="5"/>
      <c r="U118" s="5"/>
      <c r="V118" s="5"/>
      <c r="W118" s="5"/>
      <c r="X118" s="5"/>
      <c r="Y118" s="5"/>
    </row>
    <row r="119" spans="2:2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P119" s="5"/>
      <c r="Q119" s="5"/>
      <c r="T119" s="5"/>
      <c r="U119" s="5"/>
      <c r="V119" s="5"/>
      <c r="W119" s="5"/>
      <c r="X119" s="5"/>
      <c r="Y119" s="5"/>
    </row>
    <row r="120" spans="2:2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P120" s="5"/>
      <c r="Q120" s="5"/>
      <c r="T120" s="5"/>
      <c r="U120" s="5"/>
      <c r="V120" s="5"/>
      <c r="W120" s="5"/>
      <c r="X120" s="5"/>
      <c r="Y120" s="5"/>
    </row>
    <row r="121" spans="2:2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P121" s="5"/>
      <c r="Q121" s="5"/>
      <c r="T121" s="5"/>
      <c r="U121" s="5"/>
      <c r="V121" s="5"/>
      <c r="W121" s="5"/>
      <c r="X121" s="5"/>
      <c r="Y121" s="5"/>
    </row>
    <row r="122" spans="2:2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P122" s="5"/>
      <c r="Q122" s="5"/>
      <c r="T122" s="5"/>
      <c r="U122" s="5"/>
      <c r="V122" s="5"/>
      <c r="W122" s="5"/>
      <c r="X122" s="5"/>
      <c r="Y122" s="5"/>
    </row>
    <row r="123" spans="2:2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P123" s="5"/>
      <c r="Q123" s="5"/>
      <c r="T123" s="5"/>
      <c r="U123" s="5"/>
      <c r="V123" s="5"/>
      <c r="W123" s="5"/>
      <c r="X123" s="5"/>
      <c r="Y123" s="5"/>
    </row>
    <row r="124" spans="2:2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P124" s="5"/>
      <c r="Q124" s="5"/>
      <c r="T124" s="5"/>
      <c r="U124" s="5"/>
      <c r="V124" s="5"/>
      <c r="W124" s="5"/>
      <c r="X124" s="5"/>
      <c r="Y124" s="5"/>
    </row>
    <row r="125" spans="2:2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P125" s="5"/>
      <c r="Q125" s="5"/>
      <c r="T125" s="5"/>
      <c r="U125" s="5"/>
      <c r="V125" s="5"/>
      <c r="W125" s="5"/>
      <c r="X125" s="5"/>
      <c r="Y125" s="5"/>
    </row>
    <row r="126" spans="2:2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P126" s="5"/>
      <c r="Q126" s="5"/>
      <c r="T126" s="5"/>
      <c r="U126" s="5"/>
      <c r="V126" s="5"/>
      <c r="W126" s="5"/>
      <c r="X126" s="5"/>
      <c r="Y126" s="5"/>
    </row>
    <row r="127" spans="2:2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P127" s="5"/>
      <c r="Q127" s="5"/>
      <c r="T127" s="5"/>
      <c r="U127" s="5"/>
      <c r="V127" s="5"/>
      <c r="W127" s="5"/>
      <c r="X127" s="5"/>
      <c r="Y127" s="5"/>
    </row>
    <row r="128" spans="2:2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P128" s="5"/>
      <c r="Q128" s="5"/>
      <c r="T128" s="5"/>
      <c r="U128" s="5"/>
      <c r="V128" s="5"/>
      <c r="W128" s="5"/>
      <c r="X128" s="5"/>
      <c r="Y128" s="5"/>
    </row>
    <row r="129" spans="2:2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P129" s="5"/>
      <c r="Q129" s="5"/>
      <c r="T129" s="5"/>
      <c r="U129" s="5"/>
      <c r="V129" s="5"/>
      <c r="W129" s="5"/>
      <c r="X129" s="5"/>
      <c r="Y129" s="5"/>
    </row>
    <row r="130" spans="2:2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P130" s="5"/>
      <c r="Q130" s="5"/>
      <c r="T130" s="5"/>
      <c r="U130" s="5"/>
      <c r="V130" s="5"/>
      <c r="W130" s="5"/>
      <c r="X130" s="5"/>
      <c r="Y130" s="5"/>
    </row>
    <row r="131" spans="2:2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P131" s="5"/>
      <c r="Q131" s="5"/>
      <c r="T131" s="5"/>
      <c r="U131" s="5"/>
      <c r="V131" s="5"/>
      <c r="W131" s="5"/>
      <c r="X131" s="5"/>
      <c r="Y131" s="5"/>
    </row>
    <row r="132" spans="2:2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P132" s="5"/>
      <c r="Q132" s="5"/>
      <c r="T132" s="5"/>
      <c r="U132" s="5"/>
      <c r="V132" s="5"/>
      <c r="W132" s="5"/>
      <c r="X132" s="5"/>
      <c r="Y132" s="5"/>
    </row>
    <row r="133" spans="2:2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P133" s="5"/>
      <c r="Q133" s="5"/>
      <c r="T133" s="5"/>
      <c r="U133" s="5"/>
      <c r="V133" s="5"/>
      <c r="W133" s="5"/>
      <c r="X133" s="5"/>
      <c r="Y133" s="5"/>
    </row>
    <row r="134" spans="2:2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P134" s="5"/>
      <c r="Q134" s="5"/>
      <c r="T134" s="5"/>
      <c r="U134" s="5"/>
      <c r="V134" s="5"/>
      <c r="W134" s="5"/>
      <c r="X134" s="5"/>
      <c r="Y134" s="5"/>
    </row>
    <row r="135" spans="2:2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P135" s="5"/>
      <c r="Q135" s="5"/>
      <c r="T135" s="5"/>
      <c r="U135" s="5"/>
      <c r="V135" s="5"/>
      <c r="W135" s="5"/>
      <c r="X135" s="5"/>
      <c r="Y135" s="5"/>
    </row>
    <row r="136" spans="2:2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P136" s="5"/>
      <c r="Q136" s="5"/>
      <c r="T136" s="5"/>
      <c r="U136" s="5"/>
      <c r="V136" s="5"/>
      <c r="W136" s="5"/>
      <c r="X136" s="5"/>
      <c r="Y136" s="5"/>
    </row>
    <row r="137" spans="2:2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P137" s="5"/>
      <c r="Q137" s="5"/>
      <c r="T137" s="5"/>
      <c r="U137" s="5"/>
      <c r="V137" s="5"/>
      <c r="W137" s="5"/>
      <c r="X137" s="5"/>
      <c r="Y137" s="5"/>
    </row>
    <row r="138" spans="2:2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P138" s="5"/>
      <c r="Q138" s="5"/>
      <c r="T138" s="5"/>
      <c r="U138" s="5"/>
      <c r="V138" s="5"/>
      <c r="W138" s="5"/>
      <c r="X138" s="5"/>
      <c r="Y138" s="5"/>
    </row>
    <row r="139" spans="2:2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P139" s="5"/>
      <c r="Q139" s="5"/>
      <c r="T139" s="5"/>
      <c r="U139" s="5"/>
      <c r="V139" s="5"/>
      <c r="W139" s="5"/>
      <c r="X139" s="5"/>
      <c r="Y139" s="5"/>
    </row>
    <row r="140" spans="2:2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P140" s="5"/>
      <c r="Q140" s="5"/>
      <c r="T140" s="5"/>
      <c r="U140" s="5"/>
      <c r="V140" s="5"/>
      <c r="W140" s="5"/>
      <c r="X140" s="5"/>
      <c r="Y140" s="5"/>
    </row>
    <row r="141" spans="2:2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P141" s="5"/>
      <c r="Q141" s="5"/>
      <c r="T141" s="5"/>
      <c r="U141" s="5"/>
      <c r="V141" s="5"/>
      <c r="W141" s="5"/>
      <c r="X141" s="5"/>
      <c r="Y141" s="5"/>
    </row>
    <row r="142" spans="2:2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P142" s="5"/>
      <c r="Q142" s="5"/>
      <c r="T142" s="5"/>
      <c r="U142" s="5"/>
      <c r="V142" s="5"/>
      <c r="W142" s="5"/>
      <c r="X142" s="5"/>
      <c r="Y142" s="5"/>
    </row>
    <row r="143" spans="2:2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P143" s="5"/>
      <c r="Q143" s="5"/>
      <c r="T143" s="5"/>
      <c r="U143" s="5"/>
      <c r="V143" s="5"/>
      <c r="W143" s="5"/>
      <c r="X143" s="5"/>
      <c r="Y143" s="5"/>
    </row>
    <row r="144" spans="2:2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P144" s="5"/>
      <c r="Q144" s="5"/>
      <c r="T144" s="5"/>
      <c r="U144" s="5"/>
      <c r="V144" s="5"/>
      <c r="W144" s="5"/>
      <c r="X144" s="5"/>
      <c r="Y144" s="5"/>
    </row>
    <row r="145" spans="2:2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P145" s="5"/>
      <c r="Q145" s="5"/>
      <c r="T145" s="5"/>
      <c r="U145" s="5"/>
      <c r="V145" s="5"/>
      <c r="W145" s="5"/>
      <c r="X145" s="5"/>
      <c r="Y145" s="5"/>
    </row>
    <row r="146" spans="2:2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P146" s="5"/>
      <c r="Q146" s="5"/>
      <c r="T146" s="5"/>
      <c r="U146" s="5"/>
      <c r="V146" s="5"/>
      <c r="W146" s="5"/>
      <c r="X146" s="5"/>
      <c r="Y146" s="5"/>
    </row>
    <row r="147" spans="2:2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P147" s="5"/>
      <c r="Q147" s="5"/>
      <c r="T147" s="5"/>
      <c r="U147" s="5"/>
      <c r="V147" s="5"/>
      <c r="W147" s="5"/>
      <c r="X147" s="5"/>
      <c r="Y147" s="5"/>
    </row>
    <row r="148" spans="2:2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P148" s="5"/>
      <c r="Q148" s="5"/>
      <c r="T148" s="5"/>
      <c r="U148" s="5"/>
      <c r="V148" s="5"/>
      <c r="W148" s="5"/>
      <c r="X148" s="5"/>
      <c r="Y148" s="5"/>
    </row>
    <row r="149" spans="2:2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P149" s="5"/>
      <c r="Q149" s="5"/>
      <c r="T149" s="5"/>
      <c r="U149" s="5"/>
      <c r="V149" s="5"/>
      <c r="W149" s="5"/>
      <c r="X149" s="5"/>
      <c r="Y149" s="5"/>
    </row>
    <row r="150" spans="2:2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P150" s="5"/>
      <c r="Q150" s="5"/>
      <c r="T150" s="5"/>
      <c r="U150" s="5"/>
      <c r="V150" s="5"/>
      <c r="W150" s="5"/>
      <c r="X150" s="5"/>
      <c r="Y150" s="5"/>
    </row>
    <row r="151" spans="2:2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P151" s="5"/>
      <c r="Q151" s="5"/>
      <c r="T151" s="5"/>
      <c r="U151" s="5"/>
      <c r="V151" s="5"/>
      <c r="W151" s="5"/>
      <c r="X151" s="5"/>
      <c r="Y151" s="5"/>
    </row>
    <row r="152" spans="2:2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P152" s="5"/>
      <c r="Q152" s="5"/>
      <c r="T152" s="5"/>
      <c r="U152" s="5"/>
      <c r="V152" s="5"/>
      <c r="W152" s="5"/>
      <c r="X152" s="5"/>
      <c r="Y152" s="5"/>
    </row>
    <row r="153" spans="2:2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P153" s="5"/>
      <c r="Q153" s="5"/>
      <c r="T153" s="5"/>
      <c r="U153" s="5"/>
      <c r="V153" s="5"/>
      <c r="W153" s="5"/>
      <c r="X153" s="5"/>
      <c r="Y153" s="5"/>
    </row>
    <row r="154" spans="2:2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P154" s="5"/>
      <c r="Q154" s="5"/>
      <c r="T154" s="5"/>
      <c r="U154" s="5"/>
      <c r="V154" s="5"/>
      <c r="W154" s="5"/>
      <c r="X154" s="5"/>
      <c r="Y154" s="5"/>
    </row>
    <row r="155" spans="2:2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P155" s="5"/>
      <c r="Q155" s="5"/>
      <c r="T155" s="5"/>
      <c r="U155" s="5"/>
      <c r="V155" s="5"/>
      <c r="W155" s="5"/>
      <c r="X155" s="5"/>
      <c r="Y155" s="5"/>
    </row>
    <row r="156" spans="2:2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P156" s="5"/>
      <c r="Q156" s="5"/>
      <c r="T156" s="5"/>
      <c r="U156" s="5"/>
      <c r="V156" s="5"/>
      <c r="W156" s="5"/>
      <c r="X156" s="5"/>
      <c r="Y156" s="5"/>
    </row>
    <row r="157" spans="2:2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P157" s="5"/>
      <c r="Q157" s="5"/>
      <c r="T157" s="5"/>
      <c r="U157" s="5"/>
      <c r="V157" s="5"/>
      <c r="W157" s="5"/>
      <c r="X157" s="5"/>
      <c r="Y157" s="5"/>
    </row>
    <row r="158" spans="2:2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P158" s="5"/>
      <c r="Q158" s="5"/>
      <c r="T158" s="5"/>
      <c r="U158" s="5"/>
      <c r="V158" s="5"/>
      <c r="W158" s="5"/>
      <c r="X158" s="5"/>
      <c r="Y158" s="5"/>
    </row>
    <row r="159" spans="2:2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P159" s="5"/>
      <c r="Q159" s="5"/>
      <c r="T159" s="5"/>
      <c r="U159" s="5"/>
      <c r="V159" s="5"/>
      <c r="W159" s="5"/>
      <c r="X159" s="5"/>
      <c r="Y159" s="5"/>
    </row>
    <row r="160" spans="2:2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P160" s="5"/>
      <c r="Q160" s="5"/>
      <c r="T160" s="5"/>
      <c r="U160" s="5"/>
      <c r="V160" s="5"/>
      <c r="W160" s="5"/>
      <c r="X160" s="5"/>
      <c r="Y160" s="5"/>
    </row>
    <row r="161" spans="2:2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P161" s="5"/>
      <c r="Q161" s="5"/>
      <c r="T161" s="5"/>
      <c r="U161" s="5"/>
      <c r="V161" s="5"/>
      <c r="W161" s="5"/>
      <c r="X161" s="5"/>
      <c r="Y161" s="5"/>
    </row>
    <row r="162" spans="2:2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P162" s="5"/>
      <c r="Q162" s="5"/>
      <c r="T162" s="5"/>
      <c r="U162" s="5"/>
      <c r="V162" s="5"/>
      <c r="W162" s="5"/>
      <c r="X162" s="5"/>
      <c r="Y162" s="5"/>
    </row>
    <row r="163" spans="2:2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P163" s="5"/>
      <c r="Q163" s="5"/>
      <c r="T163" s="5"/>
      <c r="U163" s="5"/>
      <c r="V163" s="5"/>
      <c r="W163" s="5"/>
      <c r="X163" s="5"/>
      <c r="Y163" s="5"/>
    </row>
    <row r="164" spans="2:2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P164" s="5"/>
      <c r="Q164" s="5"/>
      <c r="T164" s="5"/>
      <c r="U164" s="5"/>
      <c r="V164" s="5"/>
      <c r="W164" s="5"/>
      <c r="X164" s="5"/>
      <c r="Y164" s="5"/>
    </row>
    <row r="165" spans="2:2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P165" s="5"/>
      <c r="Q165" s="5"/>
      <c r="T165" s="5"/>
      <c r="U165" s="5"/>
      <c r="V165" s="5"/>
      <c r="W165" s="5"/>
      <c r="X165" s="5"/>
      <c r="Y165" s="5"/>
    </row>
    <row r="166" spans="2:2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P166" s="5"/>
      <c r="Q166" s="5"/>
      <c r="T166" s="5"/>
      <c r="U166" s="5"/>
      <c r="V166" s="5"/>
      <c r="W166" s="5"/>
      <c r="X166" s="5"/>
      <c r="Y166" s="5"/>
    </row>
    <row r="167" spans="2:2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P167" s="5"/>
      <c r="Q167" s="5"/>
      <c r="T167" s="5"/>
      <c r="U167" s="5"/>
      <c r="V167" s="5"/>
      <c r="W167" s="5"/>
      <c r="X167" s="5"/>
      <c r="Y167" s="5"/>
    </row>
    <row r="168" spans="2:2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P168" s="5"/>
      <c r="Q168" s="5"/>
      <c r="T168" s="5"/>
      <c r="U168" s="5"/>
      <c r="V168" s="5"/>
      <c r="W168" s="5"/>
      <c r="X168" s="5"/>
      <c r="Y168" s="5"/>
    </row>
    <row r="169" spans="2:2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P169" s="5"/>
      <c r="Q169" s="5"/>
      <c r="T169" s="5"/>
      <c r="U169" s="5"/>
      <c r="V169" s="5"/>
      <c r="W169" s="5"/>
      <c r="X169" s="5"/>
      <c r="Y169" s="5"/>
    </row>
    <row r="170" spans="2:2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P170" s="5"/>
      <c r="Q170" s="5"/>
      <c r="T170" s="5"/>
      <c r="U170" s="5"/>
      <c r="V170" s="5"/>
      <c r="W170" s="5"/>
      <c r="X170" s="5"/>
      <c r="Y170" s="5"/>
    </row>
    <row r="171" spans="2:2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P171" s="5"/>
      <c r="Q171" s="5"/>
      <c r="T171" s="5"/>
      <c r="U171" s="5"/>
      <c r="V171" s="5"/>
      <c r="W171" s="5"/>
      <c r="X171" s="5"/>
      <c r="Y171" s="5"/>
    </row>
    <row r="172" spans="2:2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P172" s="5"/>
      <c r="Q172" s="5"/>
      <c r="T172" s="5"/>
      <c r="U172" s="5"/>
      <c r="V172" s="5"/>
      <c r="W172" s="5"/>
      <c r="X172" s="5"/>
      <c r="Y172" s="5"/>
    </row>
    <row r="173" spans="2:2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P173" s="5"/>
      <c r="Q173" s="5"/>
      <c r="T173" s="5"/>
      <c r="U173" s="5"/>
      <c r="V173" s="5"/>
      <c r="W173" s="5"/>
      <c r="X173" s="5"/>
      <c r="Y173" s="5"/>
    </row>
    <row r="174" spans="2:2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P174" s="5"/>
      <c r="Q174" s="5"/>
      <c r="T174" s="5"/>
      <c r="U174" s="5"/>
      <c r="V174" s="5"/>
      <c r="W174" s="5"/>
      <c r="X174" s="5"/>
      <c r="Y174" s="5"/>
    </row>
    <row r="175" spans="2:2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P175" s="5"/>
      <c r="Q175" s="5"/>
      <c r="T175" s="5"/>
      <c r="U175" s="5"/>
      <c r="V175" s="5"/>
      <c r="W175" s="5"/>
      <c r="X175" s="5"/>
      <c r="Y175" s="5"/>
    </row>
    <row r="176" spans="2:2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P176" s="5"/>
      <c r="Q176" s="5"/>
      <c r="T176" s="5"/>
      <c r="U176" s="5"/>
      <c r="V176" s="5"/>
      <c r="W176" s="5"/>
      <c r="X176" s="5"/>
      <c r="Y176" s="5"/>
    </row>
    <row r="177" spans="2:2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P177" s="5"/>
      <c r="Q177" s="5"/>
      <c r="T177" s="5"/>
      <c r="U177" s="5"/>
      <c r="V177" s="5"/>
      <c r="W177" s="5"/>
      <c r="X177" s="5"/>
      <c r="Y177" s="5"/>
    </row>
    <row r="178" spans="2:2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P178" s="5"/>
      <c r="Q178" s="5"/>
      <c r="T178" s="5"/>
      <c r="U178" s="5"/>
      <c r="V178" s="5"/>
      <c r="W178" s="5"/>
      <c r="X178" s="5"/>
      <c r="Y178" s="5"/>
    </row>
    <row r="179" spans="2:2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P179" s="5"/>
      <c r="Q179" s="5"/>
      <c r="T179" s="5"/>
      <c r="U179" s="5"/>
      <c r="V179" s="5"/>
      <c r="W179" s="5"/>
      <c r="X179" s="5"/>
      <c r="Y179" s="5"/>
    </row>
    <row r="180" spans="2:2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P180" s="5"/>
      <c r="Q180" s="5"/>
      <c r="T180" s="5"/>
      <c r="U180" s="5"/>
      <c r="V180" s="5"/>
      <c r="W180" s="5"/>
      <c r="X180" s="5"/>
      <c r="Y180" s="5"/>
    </row>
    <row r="181" spans="2:2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P181" s="5"/>
      <c r="Q181" s="5"/>
      <c r="T181" s="5"/>
      <c r="U181" s="5"/>
      <c r="V181" s="5"/>
      <c r="W181" s="5"/>
      <c r="X181" s="5"/>
      <c r="Y181" s="5"/>
    </row>
    <row r="182" spans="2:2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P182" s="5"/>
      <c r="Q182" s="5"/>
      <c r="T182" s="5"/>
      <c r="U182" s="5"/>
      <c r="V182" s="5"/>
      <c r="W182" s="5"/>
      <c r="X182" s="5"/>
      <c r="Y182" s="5"/>
    </row>
    <row r="183" spans="2:2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P183" s="5"/>
      <c r="Q183" s="5"/>
      <c r="T183" s="5"/>
      <c r="U183" s="5"/>
      <c r="V183" s="5"/>
      <c r="W183" s="5"/>
      <c r="X183" s="5"/>
      <c r="Y183" s="5"/>
    </row>
    <row r="184" spans="2:2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P184" s="5"/>
      <c r="Q184" s="5"/>
      <c r="T184" s="5"/>
      <c r="U184" s="5"/>
      <c r="V184" s="5"/>
      <c r="W184" s="5"/>
      <c r="X184" s="5"/>
      <c r="Y184" s="5"/>
    </row>
    <row r="185" spans="2:2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P185" s="5"/>
      <c r="Q185" s="5"/>
      <c r="T185" s="5"/>
      <c r="U185" s="5"/>
      <c r="V185" s="5"/>
      <c r="W185" s="5"/>
      <c r="X185" s="5"/>
      <c r="Y185" s="5"/>
    </row>
    <row r="186" spans="2:2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P186" s="5"/>
      <c r="Q186" s="5"/>
      <c r="T186" s="5"/>
      <c r="U186" s="5"/>
      <c r="V186" s="5"/>
      <c r="W186" s="5"/>
      <c r="X186" s="5"/>
      <c r="Y186" s="5"/>
    </row>
    <row r="187" spans="2:2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P187" s="5"/>
      <c r="Q187" s="5"/>
      <c r="T187" s="5"/>
      <c r="U187" s="5"/>
      <c r="V187" s="5"/>
      <c r="W187" s="5"/>
      <c r="X187" s="5"/>
      <c r="Y187" s="5"/>
    </row>
    <row r="188" spans="2:2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P188" s="5"/>
      <c r="Q188" s="5"/>
      <c r="T188" s="5"/>
      <c r="U188" s="5"/>
      <c r="V188" s="5"/>
      <c r="W188" s="5"/>
      <c r="X188" s="5"/>
      <c r="Y188" s="5"/>
    </row>
    <row r="189" spans="2:2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P189" s="5"/>
      <c r="Q189" s="5"/>
      <c r="T189" s="5"/>
      <c r="U189" s="5"/>
      <c r="V189" s="5"/>
      <c r="W189" s="5"/>
      <c r="X189" s="5"/>
      <c r="Y189" s="5"/>
    </row>
    <row r="190" spans="2:2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P190" s="5"/>
      <c r="Q190" s="5"/>
      <c r="T190" s="5"/>
      <c r="U190" s="5"/>
      <c r="V190" s="5"/>
      <c r="W190" s="5"/>
      <c r="X190" s="5"/>
      <c r="Y190" s="5"/>
    </row>
    <row r="191" spans="2:2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P191" s="5"/>
      <c r="Q191" s="5"/>
      <c r="T191" s="5"/>
      <c r="U191" s="5"/>
      <c r="V191" s="5"/>
      <c r="W191" s="5"/>
      <c r="X191" s="5"/>
      <c r="Y191" s="5"/>
    </row>
    <row r="192" spans="2:2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P192" s="5"/>
      <c r="Q192" s="5"/>
      <c r="T192" s="5"/>
      <c r="U192" s="5"/>
      <c r="V192" s="5"/>
      <c r="W192" s="5"/>
      <c r="X192" s="5"/>
      <c r="Y192" s="5"/>
    </row>
    <row r="193" spans="2:2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P193" s="5"/>
      <c r="Q193" s="5"/>
      <c r="T193" s="5"/>
      <c r="U193" s="5"/>
      <c r="V193" s="5"/>
      <c r="W193" s="5"/>
      <c r="X193" s="5"/>
      <c r="Y193" s="5"/>
    </row>
    <row r="194" spans="2:2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P194" s="5"/>
      <c r="Q194" s="5"/>
      <c r="T194" s="5"/>
      <c r="U194" s="5"/>
      <c r="V194" s="5"/>
      <c r="W194" s="5"/>
      <c r="X194" s="5"/>
      <c r="Y194" s="5"/>
    </row>
    <row r="195" spans="2:2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P195" s="5"/>
      <c r="Q195" s="5"/>
      <c r="T195" s="5"/>
      <c r="U195" s="5"/>
      <c r="V195" s="5"/>
      <c r="W195" s="5"/>
      <c r="X195" s="5"/>
      <c r="Y195" s="5"/>
    </row>
    <row r="196" spans="2:2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P196" s="5"/>
      <c r="Q196" s="5"/>
      <c r="T196" s="5"/>
      <c r="U196" s="5"/>
      <c r="V196" s="5"/>
      <c r="W196" s="5"/>
      <c r="X196" s="5"/>
      <c r="Y196" s="5"/>
    </row>
    <row r="197" spans="2:2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P197" s="5"/>
      <c r="Q197" s="5"/>
      <c r="T197" s="5"/>
      <c r="U197" s="5"/>
      <c r="V197" s="5"/>
      <c r="W197" s="5"/>
      <c r="X197" s="5"/>
      <c r="Y197" s="5"/>
    </row>
    <row r="198" spans="2:2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P198" s="5"/>
      <c r="Q198" s="5"/>
      <c r="T198" s="5"/>
      <c r="U198" s="5"/>
      <c r="V198" s="5"/>
      <c r="W198" s="5"/>
      <c r="X198" s="5"/>
      <c r="Y198" s="5"/>
    </row>
    <row r="199" spans="2:2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P199" s="5"/>
      <c r="Q199" s="5"/>
      <c r="T199" s="5"/>
      <c r="U199" s="5"/>
      <c r="V199" s="5"/>
      <c r="W199" s="5"/>
      <c r="X199" s="5"/>
      <c r="Y199" s="5"/>
    </row>
    <row r="200" spans="2:2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P200" s="5"/>
      <c r="Q200" s="5"/>
      <c r="T200" s="5"/>
      <c r="U200" s="5"/>
      <c r="V200" s="5"/>
      <c r="W200" s="5"/>
      <c r="X200" s="5"/>
      <c r="Y200" s="5"/>
    </row>
    <row r="201" spans="2:2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P201" s="5"/>
      <c r="Q201" s="5"/>
      <c r="T201" s="5"/>
      <c r="U201" s="5"/>
      <c r="V201" s="5"/>
      <c r="W201" s="5"/>
      <c r="X201" s="5"/>
      <c r="Y201" s="5"/>
    </row>
    <row r="202" spans="2:2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P202" s="5"/>
      <c r="Q202" s="5"/>
      <c r="T202" s="5"/>
      <c r="U202" s="5"/>
      <c r="V202" s="5"/>
      <c r="W202" s="5"/>
      <c r="X202" s="5"/>
      <c r="Y202" s="5"/>
    </row>
    <row r="203" spans="2:2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P203" s="5"/>
      <c r="Q203" s="5"/>
      <c r="T203" s="5"/>
      <c r="U203" s="5"/>
      <c r="V203" s="5"/>
      <c r="W203" s="5"/>
      <c r="X203" s="5"/>
      <c r="Y203" s="5"/>
    </row>
    <row r="204" spans="2:2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P204" s="5"/>
      <c r="Q204" s="5"/>
      <c r="T204" s="5"/>
      <c r="U204" s="5"/>
      <c r="V204" s="5"/>
      <c r="W204" s="5"/>
      <c r="X204" s="5"/>
      <c r="Y204" s="5"/>
    </row>
    <row r="205" spans="2:2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P205" s="5"/>
      <c r="Q205" s="5"/>
      <c r="T205" s="5"/>
      <c r="U205" s="5"/>
      <c r="V205" s="5"/>
      <c r="W205" s="5"/>
      <c r="X205" s="5"/>
      <c r="Y205" s="5"/>
    </row>
    <row r="206" spans="2:2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P206" s="5"/>
      <c r="Q206" s="5"/>
      <c r="T206" s="5"/>
      <c r="U206" s="5"/>
      <c r="V206" s="5"/>
      <c r="W206" s="5"/>
      <c r="X206" s="5"/>
      <c r="Y206" s="5"/>
    </row>
    <row r="207" spans="2:2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P207" s="5"/>
      <c r="Q207" s="5"/>
      <c r="T207" s="5"/>
      <c r="U207" s="5"/>
      <c r="V207" s="5"/>
      <c r="W207" s="5"/>
      <c r="X207" s="5"/>
      <c r="Y207" s="5"/>
    </row>
    <row r="208" spans="2:2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P208" s="5"/>
      <c r="Q208" s="5"/>
      <c r="T208" s="5"/>
      <c r="U208" s="5"/>
      <c r="V208" s="5"/>
      <c r="W208" s="5"/>
      <c r="X208" s="5"/>
      <c r="Y208" s="5"/>
    </row>
    <row r="209" spans="2:2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P209" s="5"/>
      <c r="Q209" s="5"/>
      <c r="T209" s="5"/>
      <c r="U209" s="5"/>
      <c r="V209" s="5"/>
      <c r="W209" s="5"/>
      <c r="X209" s="5"/>
      <c r="Y209" s="5"/>
    </row>
    <row r="210" spans="2:2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P210" s="5"/>
      <c r="Q210" s="5"/>
      <c r="T210" s="5"/>
      <c r="U210" s="5"/>
      <c r="V210" s="5"/>
      <c r="W210" s="5"/>
      <c r="X210" s="5"/>
      <c r="Y210" s="5"/>
    </row>
    <row r="211" spans="2:2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P211" s="5"/>
      <c r="Q211" s="5"/>
      <c r="T211" s="5"/>
      <c r="U211" s="5"/>
      <c r="V211" s="5"/>
      <c r="W211" s="5"/>
      <c r="X211" s="5"/>
      <c r="Y211" s="5"/>
    </row>
    <row r="212" spans="2:2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P212" s="5"/>
      <c r="Q212" s="5"/>
      <c r="T212" s="5"/>
      <c r="U212" s="5"/>
      <c r="V212" s="5"/>
      <c r="W212" s="5"/>
      <c r="X212" s="5"/>
      <c r="Y212" s="5"/>
    </row>
    <row r="213" spans="2:2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P213" s="5"/>
      <c r="Q213" s="5"/>
      <c r="T213" s="5"/>
      <c r="U213" s="5"/>
      <c r="V213" s="5"/>
      <c r="W213" s="5"/>
      <c r="X213" s="5"/>
      <c r="Y213" s="5"/>
    </row>
    <row r="214" spans="2:2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P214" s="5"/>
      <c r="Q214" s="5"/>
      <c r="T214" s="5"/>
      <c r="U214" s="5"/>
      <c r="V214" s="5"/>
      <c r="W214" s="5"/>
      <c r="X214" s="5"/>
      <c r="Y214" s="5"/>
    </row>
    <row r="215" spans="2:2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P215" s="5"/>
      <c r="Q215" s="5"/>
      <c r="T215" s="5"/>
      <c r="U215" s="5"/>
      <c r="V215" s="5"/>
      <c r="W215" s="5"/>
      <c r="X215" s="5"/>
      <c r="Y215" s="5"/>
    </row>
    <row r="216" spans="2:2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P216" s="5"/>
      <c r="Q216" s="5"/>
      <c r="T216" s="5"/>
      <c r="U216" s="5"/>
      <c r="V216" s="5"/>
      <c r="W216" s="5"/>
      <c r="X216" s="5"/>
      <c r="Y216" s="5"/>
    </row>
    <row r="217" spans="2:2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P217" s="5"/>
      <c r="Q217" s="5"/>
      <c r="T217" s="5"/>
      <c r="U217" s="5"/>
      <c r="V217" s="5"/>
      <c r="W217" s="5"/>
      <c r="X217" s="5"/>
      <c r="Y217" s="5"/>
    </row>
    <row r="218" spans="2:2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P218" s="5"/>
      <c r="Q218" s="5"/>
      <c r="T218" s="5"/>
      <c r="U218" s="5"/>
      <c r="V218" s="5"/>
      <c r="W218" s="5"/>
      <c r="X218" s="5"/>
      <c r="Y218" s="5"/>
    </row>
    <row r="219" spans="2:25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P219" s="5"/>
      <c r="Q219" s="5"/>
      <c r="T219" s="5"/>
      <c r="U219" s="5"/>
      <c r="V219" s="5"/>
      <c r="W219" s="5"/>
      <c r="X219" s="5"/>
      <c r="Y219" s="5"/>
    </row>
    <row r="220" spans="2:25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P220" s="5"/>
      <c r="Q220" s="5"/>
      <c r="T220" s="5"/>
      <c r="U220" s="5"/>
      <c r="V220" s="5"/>
      <c r="W220" s="5"/>
      <c r="X220" s="5"/>
      <c r="Y220" s="5"/>
    </row>
    <row r="221" spans="2:25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P221" s="5"/>
      <c r="Q221" s="5"/>
      <c r="T221" s="5"/>
      <c r="U221" s="5"/>
      <c r="V221" s="5"/>
      <c r="W221" s="5"/>
      <c r="X221" s="5"/>
      <c r="Y221" s="5"/>
    </row>
    <row r="222" spans="2:2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P222" s="5"/>
      <c r="Q222" s="5"/>
      <c r="T222" s="5"/>
      <c r="U222" s="5"/>
      <c r="V222" s="5"/>
      <c r="W222" s="5"/>
      <c r="X222" s="5"/>
      <c r="Y222" s="5"/>
    </row>
    <row r="223" spans="2:2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P223" s="5"/>
      <c r="Q223" s="5"/>
      <c r="T223" s="5"/>
      <c r="U223" s="5"/>
      <c r="V223" s="5"/>
      <c r="W223" s="5"/>
      <c r="X223" s="5"/>
      <c r="Y223" s="5"/>
    </row>
    <row r="224" spans="2:25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P224" s="5"/>
      <c r="Q224" s="5"/>
      <c r="T224" s="5"/>
      <c r="U224" s="5"/>
      <c r="V224" s="5"/>
      <c r="W224" s="5"/>
      <c r="X224" s="5"/>
      <c r="Y224" s="5"/>
    </row>
    <row r="225" spans="2:25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P225" s="5"/>
      <c r="Q225" s="5"/>
      <c r="T225" s="5"/>
      <c r="U225" s="5"/>
      <c r="V225" s="5"/>
      <c r="W225" s="5"/>
      <c r="X225" s="5"/>
      <c r="Y225" s="5"/>
    </row>
    <row r="226" spans="2:25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P226" s="5"/>
      <c r="Q226" s="5"/>
      <c r="T226" s="5"/>
      <c r="U226" s="5"/>
      <c r="V226" s="5"/>
      <c r="W226" s="5"/>
      <c r="X226" s="5"/>
      <c r="Y226" s="5"/>
    </row>
    <row r="227" spans="2:25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P227" s="5"/>
      <c r="Q227" s="5"/>
      <c r="T227" s="5"/>
      <c r="U227" s="5"/>
      <c r="V227" s="5"/>
      <c r="W227" s="5"/>
      <c r="X227" s="5"/>
      <c r="Y227" s="5"/>
    </row>
    <row r="228" spans="2:25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P228" s="5"/>
      <c r="Q228" s="5"/>
      <c r="T228" s="5"/>
      <c r="U228" s="5"/>
      <c r="V228" s="5"/>
      <c r="W228" s="5"/>
      <c r="X228" s="5"/>
      <c r="Y228" s="5"/>
    </row>
    <row r="229" spans="2:25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P229" s="5"/>
      <c r="Q229" s="5"/>
      <c r="T229" s="5"/>
      <c r="U229" s="5"/>
      <c r="V229" s="5"/>
      <c r="W229" s="5"/>
      <c r="X229" s="5"/>
      <c r="Y229" s="5"/>
    </row>
    <row r="230" spans="2:25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P230" s="5"/>
      <c r="Q230" s="5"/>
      <c r="T230" s="5"/>
      <c r="U230" s="5"/>
      <c r="V230" s="5"/>
      <c r="W230" s="5"/>
      <c r="X230" s="5"/>
      <c r="Y230" s="5"/>
    </row>
    <row r="231" spans="2:25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P231" s="5"/>
      <c r="Q231" s="5"/>
      <c r="T231" s="5"/>
      <c r="U231" s="5"/>
      <c r="V231" s="5"/>
      <c r="W231" s="5"/>
      <c r="X231" s="5"/>
      <c r="Y231" s="5"/>
    </row>
    <row r="232" spans="2:25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P232" s="5"/>
      <c r="Q232" s="5"/>
      <c r="T232" s="5"/>
      <c r="U232" s="5"/>
      <c r="V232" s="5"/>
      <c r="W232" s="5"/>
      <c r="X232" s="5"/>
      <c r="Y232" s="5"/>
    </row>
    <row r="233" spans="2:25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P233" s="5"/>
      <c r="Q233" s="5"/>
      <c r="T233" s="5"/>
      <c r="U233" s="5"/>
      <c r="V233" s="5"/>
      <c r="W233" s="5"/>
      <c r="X233" s="5"/>
      <c r="Y233" s="5"/>
    </row>
    <row r="234" spans="2:25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P234" s="5"/>
      <c r="Q234" s="5"/>
      <c r="T234" s="5"/>
      <c r="U234" s="5"/>
      <c r="V234" s="5"/>
      <c r="W234" s="5"/>
      <c r="X234" s="5"/>
      <c r="Y234" s="5"/>
    </row>
    <row r="235" spans="2:25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P235" s="5"/>
      <c r="Q235" s="5"/>
      <c r="T235" s="5"/>
      <c r="U235" s="5"/>
      <c r="V235" s="5"/>
      <c r="W235" s="5"/>
      <c r="X235" s="5"/>
      <c r="Y235" s="5"/>
    </row>
    <row r="236" spans="2:25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P236" s="5"/>
      <c r="Q236" s="5"/>
      <c r="T236" s="5"/>
      <c r="U236" s="5"/>
      <c r="V236" s="5"/>
      <c r="W236" s="5"/>
      <c r="X236" s="5"/>
      <c r="Y236" s="5"/>
    </row>
    <row r="237" spans="2:25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P237" s="5"/>
      <c r="Q237" s="5"/>
      <c r="T237" s="5"/>
      <c r="U237" s="5"/>
      <c r="V237" s="5"/>
      <c r="W237" s="5"/>
      <c r="X237" s="5"/>
      <c r="Y237" s="5"/>
    </row>
    <row r="238" spans="2:25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P238" s="5"/>
      <c r="Q238" s="5"/>
      <c r="T238" s="5"/>
      <c r="U238" s="5"/>
      <c r="V238" s="5"/>
      <c r="W238" s="5"/>
      <c r="X238" s="5"/>
      <c r="Y238" s="5"/>
    </row>
    <row r="239" spans="2:25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P239" s="5"/>
      <c r="Q239" s="5"/>
      <c r="T239" s="5"/>
      <c r="U239" s="5"/>
      <c r="V239" s="5"/>
      <c r="W239" s="5"/>
      <c r="X239" s="5"/>
      <c r="Y239" s="5"/>
    </row>
    <row r="240" spans="2:2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P240" s="5"/>
      <c r="Q240" s="5"/>
      <c r="T240" s="5"/>
      <c r="U240" s="5"/>
      <c r="V240" s="5"/>
      <c r="W240" s="5"/>
      <c r="X240" s="5"/>
      <c r="Y240" s="5"/>
    </row>
    <row r="241" spans="2:2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P241" s="5"/>
      <c r="Q241" s="5"/>
      <c r="T241" s="5"/>
      <c r="U241" s="5"/>
      <c r="V241" s="5"/>
      <c r="W241" s="5"/>
      <c r="X241" s="5"/>
      <c r="Y241" s="5"/>
    </row>
    <row r="242" spans="2:2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P242" s="5"/>
      <c r="Q242" s="5"/>
      <c r="T242" s="5"/>
      <c r="U242" s="5"/>
      <c r="V242" s="5"/>
      <c r="W242" s="5"/>
      <c r="X242" s="5"/>
      <c r="Y242" s="5"/>
    </row>
    <row r="243" spans="2:2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P243" s="5"/>
      <c r="Q243" s="5"/>
      <c r="T243" s="5"/>
      <c r="U243" s="5"/>
      <c r="V243" s="5"/>
      <c r="W243" s="5"/>
      <c r="X243" s="5"/>
      <c r="Y243" s="5"/>
    </row>
    <row r="244" spans="2:2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P244" s="5"/>
      <c r="Q244" s="5"/>
      <c r="T244" s="5"/>
      <c r="U244" s="5"/>
      <c r="V244" s="5"/>
      <c r="W244" s="5"/>
      <c r="X244" s="5"/>
      <c r="Y244" s="5"/>
    </row>
    <row r="245" spans="2:2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P245" s="5"/>
      <c r="Q245" s="5"/>
      <c r="T245" s="5"/>
      <c r="U245" s="5"/>
      <c r="V245" s="5"/>
      <c r="W245" s="5"/>
      <c r="X245" s="5"/>
      <c r="Y245" s="5"/>
    </row>
    <row r="246" spans="2:2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P246" s="5"/>
      <c r="Q246" s="5"/>
      <c r="T246" s="5"/>
      <c r="U246" s="5"/>
      <c r="V246" s="5"/>
      <c r="W246" s="5"/>
      <c r="X246" s="5"/>
      <c r="Y246" s="5"/>
    </row>
    <row r="247" spans="2:2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P247" s="5"/>
      <c r="Q247" s="5"/>
      <c r="T247" s="5"/>
      <c r="U247" s="5"/>
      <c r="V247" s="5"/>
      <c r="W247" s="5"/>
      <c r="X247" s="5"/>
      <c r="Y247" s="5"/>
    </row>
    <row r="248" spans="2:2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P248" s="5"/>
      <c r="Q248" s="5"/>
      <c r="T248" s="5"/>
      <c r="U248" s="5"/>
      <c r="V248" s="5"/>
      <c r="W248" s="5"/>
      <c r="X248" s="5"/>
      <c r="Y248" s="5"/>
    </row>
    <row r="249" spans="2:2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P249" s="5"/>
      <c r="Q249" s="5"/>
      <c r="T249" s="5"/>
      <c r="U249" s="5"/>
      <c r="V249" s="5"/>
      <c r="W249" s="5"/>
      <c r="X249" s="5"/>
      <c r="Y249" s="5"/>
    </row>
    <row r="250" spans="2:2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P250" s="5"/>
      <c r="Q250" s="5"/>
      <c r="T250" s="5"/>
      <c r="U250" s="5"/>
      <c r="V250" s="5"/>
      <c r="W250" s="5"/>
      <c r="X250" s="5"/>
      <c r="Y250" s="5"/>
    </row>
    <row r="251" spans="2:2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P251" s="5"/>
      <c r="Q251" s="5"/>
      <c r="T251" s="5"/>
      <c r="U251" s="5"/>
      <c r="V251" s="5"/>
      <c r="W251" s="5"/>
      <c r="X251" s="5"/>
      <c r="Y251" s="5"/>
    </row>
    <row r="252" spans="2:25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P252" s="5"/>
      <c r="Q252" s="5"/>
      <c r="T252" s="5"/>
      <c r="U252" s="5"/>
      <c r="V252" s="5"/>
      <c r="W252" s="5"/>
      <c r="X252" s="5"/>
      <c r="Y252" s="5"/>
    </row>
    <row r="253" spans="2:25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P253" s="5"/>
      <c r="Q253" s="5"/>
      <c r="T253" s="5"/>
      <c r="U253" s="5"/>
      <c r="V253" s="5"/>
      <c r="W253" s="5"/>
      <c r="X253" s="5"/>
      <c r="Y253" s="5"/>
    </row>
    <row r="254" spans="2:25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P254" s="5"/>
      <c r="Q254" s="5"/>
      <c r="T254" s="5"/>
      <c r="U254" s="5"/>
      <c r="V254" s="5"/>
      <c r="W254" s="5"/>
      <c r="X254" s="5"/>
      <c r="Y254" s="5"/>
    </row>
    <row r="255" spans="2:25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P255" s="5"/>
      <c r="Q255" s="5"/>
      <c r="T255" s="5"/>
      <c r="U255" s="5"/>
      <c r="V255" s="5"/>
      <c r="W255" s="5"/>
      <c r="X255" s="5"/>
      <c r="Y255" s="5"/>
    </row>
    <row r="256" spans="2:25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P256" s="5"/>
      <c r="Q256" s="5"/>
      <c r="T256" s="5"/>
      <c r="U256" s="5"/>
      <c r="V256" s="5"/>
      <c r="W256" s="5"/>
      <c r="X256" s="5"/>
      <c r="Y256" s="5"/>
    </row>
    <row r="257" spans="2:25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P257" s="5"/>
      <c r="Q257" s="5"/>
      <c r="T257" s="5"/>
      <c r="U257" s="5"/>
      <c r="V257" s="5"/>
      <c r="W257" s="5"/>
      <c r="X257" s="5"/>
      <c r="Y257" s="5"/>
    </row>
    <row r="258" spans="2:25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P258" s="5"/>
      <c r="Q258" s="5"/>
      <c r="T258" s="5"/>
      <c r="U258" s="5"/>
      <c r="V258" s="5"/>
      <c r="W258" s="5"/>
      <c r="X258" s="5"/>
      <c r="Y258" s="5"/>
    </row>
    <row r="259" spans="2:25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P259" s="5"/>
      <c r="Q259" s="5"/>
      <c r="T259" s="5"/>
      <c r="U259" s="5"/>
      <c r="V259" s="5"/>
      <c r="W259" s="5"/>
      <c r="X259" s="5"/>
      <c r="Y259" s="5"/>
    </row>
    <row r="260" spans="2:25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P260" s="5"/>
      <c r="Q260" s="5"/>
      <c r="T260" s="5"/>
      <c r="U260" s="5"/>
      <c r="V260" s="5"/>
      <c r="W260" s="5"/>
      <c r="X260" s="5"/>
      <c r="Y260" s="5"/>
    </row>
    <row r="261" spans="2:25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P261" s="5"/>
      <c r="Q261" s="5"/>
      <c r="T261" s="5"/>
      <c r="U261" s="5"/>
      <c r="V261" s="5"/>
      <c r="W261" s="5"/>
      <c r="X261" s="5"/>
      <c r="Y261" s="5"/>
    </row>
    <row r="262" spans="2:25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P262" s="5"/>
      <c r="Q262" s="5"/>
      <c r="T262" s="5"/>
      <c r="U262" s="5"/>
      <c r="V262" s="5"/>
      <c r="W262" s="5"/>
      <c r="X262" s="5"/>
      <c r="Y262" s="5"/>
    </row>
    <row r="263" spans="2:25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P263" s="5"/>
      <c r="Q263" s="5"/>
      <c r="T263" s="5"/>
      <c r="U263" s="5"/>
      <c r="V263" s="5"/>
      <c r="W263" s="5"/>
      <c r="X263" s="5"/>
      <c r="Y263" s="5"/>
    </row>
    <row r="264" spans="2:25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P264" s="5"/>
      <c r="Q264" s="5"/>
      <c r="T264" s="5"/>
      <c r="U264" s="5"/>
      <c r="V264" s="5"/>
      <c r="W264" s="5"/>
      <c r="X264" s="5"/>
      <c r="Y264" s="5"/>
    </row>
    <row r="265" spans="2:25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P265" s="5"/>
      <c r="Q265" s="5"/>
      <c r="T265" s="5"/>
      <c r="U265" s="5"/>
      <c r="V265" s="5"/>
      <c r="W265" s="5"/>
      <c r="X265" s="5"/>
      <c r="Y265" s="5"/>
    </row>
    <row r="266" spans="2:25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P266" s="5"/>
      <c r="Q266" s="5"/>
      <c r="T266" s="5"/>
      <c r="U266" s="5"/>
      <c r="V266" s="5"/>
      <c r="W266" s="5"/>
      <c r="X266" s="5"/>
      <c r="Y266" s="5"/>
    </row>
    <row r="267" spans="2:25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P267" s="5"/>
      <c r="Q267" s="5"/>
      <c r="T267" s="5"/>
      <c r="U267" s="5"/>
      <c r="V267" s="5"/>
      <c r="W267" s="5"/>
      <c r="X267" s="5"/>
      <c r="Y267" s="5"/>
    </row>
    <row r="268" spans="2:25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P268" s="5"/>
      <c r="Q268" s="5"/>
      <c r="T268" s="5"/>
      <c r="U268" s="5"/>
      <c r="V268" s="5"/>
      <c r="W268" s="5"/>
      <c r="X268" s="5"/>
      <c r="Y268" s="5"/>
    </row>
    <row r="269" spans="2:25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P269" s="5"/>
      <c r="Q269" s="5"/>
      <c r="T269" s="5"/>
      <c r="U269" s="5"/>
      <c r="V269" s="5"/>
      <c r="W269" s="5"/>
      <c r="X269" s="5"/>
      <c r="Y269" s="5"/>
    </row>
    <row r="270" spans="2:25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P270" s="5"/>
      <c r="Q270" s="5"/>
      <c r="T270" s="5"/>
      <c r="U270" s="5"/>
      <c r="V270" s="5"/>
      <c r="W270" s="5"/>
      <c r="X270" s="5"/>
      <c r="Y270" s="5"/>
    </row>
    <row r="271" spans="2:25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P271" s="5"/>
      <c r="Q271" s="5"/>
      <c r="T271" s="5"/>
      <c r="U271" s="5"/>
      <c r="V271" s="5"/>
      <c r="W271" s="5"/>
      <c r="X271" s="5"/>
      <c r="Y271" s="5"/>
    </row>
    <row r="272" spans="2:25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P272" s="5"/>
      <c r="Q272" s="5"/>
      <c r="T272" s="5"/>
      <c r="U272" s="5"/>
      <c r="V272" s="5"/>
      <c r="W272" s="5"/>
      <c r="X272" s="5"/>
      <c r="Y272" s="5"/>
    </row>
    <row r="273" spans="2:25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P273" s="5"/>
      <c r="Q273" s="5"/>
      <c r="T273" s="5"/>
      <c r="U273" s="5"/>
      <c r="V273" s="5"/>
      <c r="W273" s="5"/>
      <c r="X273" s="5"/>
      <c r="Y273" s="5"/>
    </row>
    <row r="274" spans="2:25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P274" s="5"/>
      <c r="Q274" s="5"/>
      <c r="T274" s="5"/>
      <c r="U274" s="5"/>
      <c r="V274" s="5"/>
      <c r="W274" s="5"/>
      <c r="X274" s="5"/>
      <c r="Y274" s="5"/>
    </row>
    <row r="275" spans="2:25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P275" s="5"/>
      <c r="Q275" s="5"/>
      <c r="T275" s="5"/>
      <c r="U275" s="5"/>
      <c r="V275" s="5"/>
      <c r="W275" s="5"/>
      <c r="X275" s="5"/>
      <c r="Y275" s="5"/>
    </row>
    <row r="276" spans="2:25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P276" s="5"/>
      <c r="Q276" s="5"/>
      <c r="T276" s="5"/>
      <c r="U276" s="5"/>
      <c r="V276" s="5"/>
      <c r="W276" s="5"/>
      <c r="X276" s="5"/>
      <c r="Y276" s="5"/>
    </row>
    <row r="277" spans="2:25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P277" s="5"/>
      <c r="Q277" s="5"/>
      <c r="T277" s="5"/>
      <c r="U277" s="5"/>
      <c r="V277" s="5"/>
      <c r="W277" s="5"/>
      <c r="X277" s="5"/>
      <c r="Y277" s="5"/>
    </row>
    <row r="278" spans="2:25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P278" s="5"/>
      <c r="Q278" s="5"/>
      <c r="T278" s="5"/>
      <c r="U278" s="5"/>
      <c r="V278" s="5"/>
      <c r="W278" s="5"/>
      <c r="X278" s="5"/>
      <c r="Y278" s="5"/>
    </row>
    <row r="279" spans="2:25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P279" s="5"/>
      <c r="Q279" s="5"/>
      <c r="T279" s="5"/>
      <c r="U279" s="5"/>
      <c r="V279" s="5"/>
      <c r="W279" s="5"/>
      <c r="X279" s="5"/>
      <c r="Y279" s="5"/>
    </row>
    <row r="280" spans="2:25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P280" s="5"/>
      <c r="Q280" s="5"/>
      <c r="T280" s="5"/>
      <c r="U280" s="5"/>
      <c r="V280" s="5"/>
      <c r="W280" s="5"/>
      <c r="X280" s="5"/>
      <c r="Y280" s="5"/>
    </row>
    <row r="281" spans="2:25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P281" s="5"/>
      <c r="Q281" s="5"/>
      <c r="T281" s="5"/>
      <c r="U281" s="5"/>
      <c r="V281" s="5"/>
      <c r="W281" s="5"/>
      <c r="X281" s="5"/>
      <c r="Y281" s="5"/>
    </row>
    <row r="282" spans="2:25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P282" s="5"/>
      <c r="Q282" s="5"/>
      <c r="T282" s="5"/>
      <c r="U282" s="5"/>
      <c r="V282" s="5"/>
      <c r="W282" s="5"/>
      <c r="X282" s="5"/>
      <c r="Y282" s="5"/>
    </row>
    <row r="283" spans="2:25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P283" s="5"/>
      <c r="Q283" s="5"/>
      <c r="T283" s="5"/>
      <c r="U283" s="5"/>
      <c r="V283" s="5"/>
      <c r="W283" s="5"/>
      <c r="X283" s="5"/>
      <c r="Y283" s="5"/>
    </row>
    <row r="284" spans="2:25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P284" s="5"/>
      <c r="Q284" s="5"/>
      <c r="T284" s="5"/>
      <c r="U284" s="5"/>
      <c r="V284" s="5"/>
      <c r="W284" s="5"/>
      <c r="X284" s="5"/>
      <c r="Y284" s="5"/>
    </row>
    <row r="285" spans="2:25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P285" s="5"/>
      <c r="Q285" s="5"/>
      <c r="T285" s="5"/>
      <c r="U285" s="5"/>
      <c r="V285" s="5"/>
      <c r="W285" s="5"/>
      <c r="X285" s="5"/>
      <c r="Y285" s="5"/>
    </row>
    <row r="286" spans="2:25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P286" s="5"/>
      <c r="Q286" s="5"/>
      <c r="T286" s="5"/>
      <c r="U286" s="5"/>
      <c r="V286" s="5"/>
      <c r="W286" s="5"/>
      <c r="X286" s="5"/>
      <c r="Y286" s="5"/>
    </row>
    <row r="287" spans="2:2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P287" s="5"/>
      <c r="Q287" s="5"/>
      <c r="T287" s="5"/>
      <c r="U287" s="5"/>
      <c r="V287" s="5"/>
      <c r="W287" s="5"/>
      <c r="X287" s="5"/>
      <c r="Y287" s="5"/>
    </row>
    <row r="288" spans="2:25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P288" s="5"/>
      <c r="Q288" s="5"/>
      <c r="T288" s="5"/>
      <c r="U288" s="5"/>
      <c r="V288" s="5"/>
      <c r="W288" s="5"/>
      <c r="X288" s="5"/>
      <c r="Y288" s="5"/>
    </row>
    <row r="289" spans="2:25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P289" s="5"/>
      <c r="Q289" s="5"/>
      <c r="T289" s="5"/>
      <c r="U289" s="5"/>
      <c r="V289" s="5"/>
      <c r="W289" s="5"/>
      <c r="X289" s="5"/>
      <c r="Y289" s="5"/>
    </row>
    <row r="290" spans="2:25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P290" s="5"/>
      <c r="Q290" s="5"/>
      <c r="T290" s="5"/>
      <c r="U290" s="5"/>
      <c r="V290" s="5"/>
      <c r="W290" s="5"/>
      <c r="X290" s="5"/>
      <c r="Y290" s="5"/>
    </row>
    <row r="291" spans="2:25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P291" s="5"/>
      <c r="Q291" s="5"/>
      <c r="T291" s="5"/>
      <c r="U291" s="5"/>
      <c r="V291" s="5"/>
      <c r="W291" s="5"/>
      <c r="X291" s="5"/>
      <c r="Y291" s="5"/>
    </row>
    <row r="292" spans="2:25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P292" s="5"/>
      <c r="Q292" s="5"/>
      <c r="T292" s="5"/>
      <c r="U292" s="5"/>
      <c r="V292" s="5"/>
      <c r="W292" s="5"/>
      <c r="X292" s="5"/>
      <c r="Y292" s="5"/>
    </row>
    <row r="293" spans="2:25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P293" s="5"/>
      <c r="Q293" s="5"/>
      <c r="T293" s="5"/>
      <c r="U293" s="5"/>
      <c r="V293" s="5"/>
      <c r="W293" s="5"/>
      <c r="X293" s="5"/>
      <c r="Y293" s="5"/>
    </row>
    <row r="294" spans="2:25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P294" s="5"/>
      <c r="Q294" s="5"/>
      <c r="T294" s="5"/>
      <c r="U294" s="5"/>
      <c r="V294" s="5"/>
      <c r="W294" s="5"/>
      <c r="X294" s="5"/>
      <c r="Y294" s="5"/>
    </row>
    <row r="295" spans="2:25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P295" s="5"/>
      <c r="Q295" s="5"/>
      <c r="T295" s="5"/>
      <c r="U295" s="5"/>
      <c r="V295" s="5"/>
      <c r="W295" s="5"/>
      <c r="X295" s="5"/>
      <c r="Y295" s="5"/>
    </row>
    <row r="296" spans="2:25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P296" s="5"/>
      <c r="Q296" s="5"/>
      <c r="T296" s="5"/>
      <c r="U296" s="5"/>
      <c r="V296" s="5"/>
      <c r="W296" s="5"/>
      <c r="X296" s="5"/>
      <c r="Y296" s="5"/>
    </row>
    <row r="297" spans="2:25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P297" s="5"/>
      <c r="Q297" s="5"/>
      <c r="T297" s="5"/>
      <c r="U297" s="5"/>
      <c r="V297" s="5"/>
      <c r="W297" s="5"/>
      <c r="X297" s="5"/>
      <c r="Y297" s="5"/>
    </row>
    <row r="298" spans="2:25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P298" s="5"/>
      <c r="Q298" s="5"/>
      <c r="T298" s="5"/>
      <c r="U298" s="5"/>
      <c r="V298" s="5"/>
      <c r="W298" s="5"/>
      <c r="X298" s="5"/>
      <c r="Y298" s="5"/>
    </row>
    <row r="299" spans="2:25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P299" s="5"/>
      <c r="Q299" s="5"/>
      <c r="T299" s="5"/>
      <c r="U299" s="5"/>
      <c r="V299" s="5"/>
      <c r="W299" s="5"/>
      <c r="X299" s="5"/>
      <c r="Y299" s="5"/>
    </row>
    <row r="300" spans="2:25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P300" s="5"/>
      <c r="Q300" s="5"/>
      <c r="T300" s="5"/>
      <c r="U300" s="5"/>
      <c r="V300" s="5"/>
      <c r="W300" s="5"/>
      <c r="X300" s="5"/>
      <c r="Y300" s="5"/>
    </row>
    <row r="301" spans="2:25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P301" s="5"/>
      <c r="Q301" s="5"/>
      <c r="T301" s="5"/>
      <c r="U301" s="5"/>
      <c r="V301" s="5"/>
      <c r="W301" s="5"/>
      <c r="X301" s="5"/>
      <c r="Y301" s="5"/>
    </row>
    <row r="302" spans="2:25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P302" s="5"/>
      <c r="Q302" s="5"/>
      <c r="T302" s="5"/>
      <c r="U302" s="5"/>
      <c r="V302" s="5"/>
      <c r="W302" s="5"/>
      <c r="X302" s="5"/>
      <c r="Y302" s="5"/>
    </row>
    <row r="303" spans="2:25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P303" s="5"/>
      <c r="Q303" s="5"/>
      <c r="T303" s="5"/>
      <c r="U303" s="5"/>
      <c r="V303" s="5"/>
      <c r="W303" s="5"/>
      <c r="X303" s="5"/>
      <c r="Y303" s="5"/>
    </row>
    <row r="304" spans="2:25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P304" s="5"/>
      <c r="Q304" s="5"/>
      <c r="T304" s="5"/>
      <c r="U304" s="5"/>
      <c r="V304" s="5"/>
      <c r="W304" s="5"/>
      <c r="X304" s="5"/>
      <c r="Y304" s="5"/>
    </row>
    <row r="305" spans="2:25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P305" s="5"/>
      <c r="Q305" s="5"/>
      <c r="T305" s="5"/>
      <c r="U305" s="5"/>
      <c r="V305" s="5"/>
      <c r="W305" s="5"/>
      <c r="X305" s="5"/>
      <c r="Y305" s="5"/>
    </row>
    <row r="306" spans="2:2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P306" s="5"/>
      <c r="Q306" s="5"/>
      <c r="T306" s="5"/>
      <c r="U306" s="5"/>
      <c r="V306" s="5"/>
      <c r="W306" s="5"/>
      <c r="X306" s="5"/>
      <c r="Y306" s="5"/>
    </row>
    <row r="307" spans="2:2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P307" s="5"/>
      <c r="Q307" s="5"/>
      <c r="T307" s="5"/>
      <c r="U307" s="5"/>
      <c r="V307" s="5"/>
      <c r="W307" s="5"/>
      <c r="X307" s="5"/>
      <c r="Y307" s="5"/>
    </row>
    <row r="308" spans="2:25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P308" s="5"/>
      <c r="Q308" s="5"/>
      <c r="T308" s="5"/>
      <c r="U308" s="5"/>
      <c r="V308" s="5"/>
      <c r="W308" s="5"/>
      <c r="X308" s="5"/>
      <c r="Y308" s="5"/>
    </row>
    <row r="309" spans="2:25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P309" s="5"/>
      <c r="Q309" s="5"/>
      <c r="T309" s="5"/>
      <c r="U309" s="5"/>
      <c r="V309" s="5"/>
      <c r="W309" s="5"/>
      <c r="X309" s="5"/>
      <c r="Y309" s="5"/>
    </row>
    <row r="310" spans="2:25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P310" s="5"/>
      <c r="Q310" s="5"/>
      <c r="T310" s="5"/>
      <c r="U310" s="5"/>
      <c r="V310" s="5"/>
      <c r="W310" s="5"/>
      <c r="X310" s="5"/>
      <c r="Y310" s="5"/>
    </row>
    <row r="311" spans="2:25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P311" s="5"/>
      <c r="Q311" s="5"/>
      <c r="T311" s="5"/>
      <c r="U311" s="5"/>
      <c r="V311" s="5"/>
      <c r="W311" s="5"/>
      <c r="X311" s="5"/>
      <c r="Y311" s="5"/>
    </row>
    <row r="312" spans="2:25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P312" s="5"/>
      <c r="Q312" s="5"/>
      <c r="T312" s="5"/>
      <c r="U312" s="5"/>
      <c r="V312" s="5"/>
      <c r="W312" s="5"/>
      <c r="X312" s="5"/>
      <c r="Y312" s="5"/>
    </row>
    <row r="313" spans="2:25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P313" s="5"/>
      <c r="Q313" s="5"/>
      <c r="T313" s="5"/>
      <c r="U313" s="5"/>
      <c r="V313" s="5"/>
      <c r="W313" s="5"/>
      <c r="X313" s="5"/>
      <c r="Y313" s="5"/>
    </row>
    <row r="314" spans="2:25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P314" s="5"/>
      <c r="Q314" s="5"/>
      <c r="T314" s="5"/>
      <c r="U314" s="5"/>
      <c r="V314" s="5"/>
      <c r="W314" s="5"/>
      <c r="X314" s="5"/>
      <c r="Y314" s="5"/>
    </row>
    <row r="315" spans="2:25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P315" s="5"/>
      <c r="Q315" s="5"/>
      <c r="T315" s="5"/>
      <c r="U315" s="5"/>
      <c r="V315" s="5"/>
      <c r="W315" s="5"/>
      <c r="X315" s="5"/>
      <c r="Y315" s="5"/>
    </row>
    <row r="316" spans="2:25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P316" s="5"/>
      <c r="Q316" s="5"/>
      <c r="T316" s="5"/>
      <c r="U316" s="5"/>
      <c r="V316" s="5"/>
      <c r="W316" s="5"/>
      <c r="X316" s="5"/>
      <c r="Y316" s="5"/>
    </row>
    <row r="317" spans="2:25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P317" s="5"/>
      <c r="Q317" s="5"/>
      <c r="T317" s="5"/>
      <c r="U317" s="5"/>
      <c r="V317" s="5"/>
      <c r="W317" s="5"/>
      <c r="X317" s="5"/>
      <c r="Y317" s="5"/>
    </row>
    <row r="318" spans="2:25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P318" s="5"/>
      <c r="Q318" s="5"/>
      <c r="T318" s="5"/>
      <c r="U318" s="5"/>
      <c r="V318" s="5"/>
      <c r="W318" s="5"/>
      <c r="X318" s="5"/>
      <c r="Y318" s="5"/>
    </row>
    <row r="319" spans="2:25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P319" s="5"/>
      <c r="Q319" s="5"/>
      <c r="T319" s="5"/>
      <c r="U319" s="5"/>
      <c r="V319" s="5"/>
      <c r="W319" s="5"/>
      <c r="X319" s="5"/>
      <c r="Y319" s="5"/>
    </row>
    <row r="320" spans="2:25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P320" s="5"/>
      <c r="Q320" s="5"/>
      <c r="T320" s="5"/>
      <c r="U320" s="5"/>
      <c r="V320" s="5"/>
      <c r="W320" s="5"/>
      <c r="X320" s="5"/>
      <c r="Y320" s="5"/>
    </row>
    <row r="321" spans="2:25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P321" s="5"/>
      <c r="Q321" s="5"/>
      <c r="T321" s="5"/>
      <c r="U321" s="5"/>
      <c r="V321" s="5"/>
      <c r="W321" s="5"/>
      <c r="X321" s="5"/>
      <c r="Y321" s="5"/>
    </row>
    <row r="322" spans="2:25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P322" s="5"/>
      <c r="Q322" s="5"/>
      <c r="T322" s="5"/>
      <c r="U322" s="5"/>
      <c r="V322" s="5"/>
      <c r="W322" s="5"/>
      <c r="X322" s="5"/>
      <c r="Y322" s="5"/>
    </row>
    <row r="323" spans="2:25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P323" s="5"/>
      <c r="Q323" s="5"/>
      <c r="T323" s="5"/>
      <c r="U323" s="5"/>
      <c r="V323" s="5"/>
      <c r="W323" s="5"/>
      <c r="X323" s="5"/>
      <c r="Y323" s="5"/>
    </row>
    <row r="324" spans="2:25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P324" s="5"/>
      <c r="Q324" s="5"/>
      <c r="T324" s="5"/>
      <c r="U324" s="5"/>
      <c r="V324" s="5"/>
      <c r="W324" s="5"/>
      <c r="X324" s="5"/>
      <c r="Y324" s="5"/>
    </row>
    <row r="325" spans="2:25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P325" s="5"/>
      <c r="Q325" s="5"/>
      <c r="T325" s="5"/>
      <c r="U325" s="5"/>
      <c r="V325" s="5"/>
      <c r="W325" s="5"/>
      <c r="X325" s="5"/>
      <c r="Y325" s="5"/>
    </row>
    <row r="326" spans="2:25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P326" s="5"/>
      <c r="Q326" s="5"/>
      <c r="T326" s="5"/>
      <c r="U326" s="5"/>
      <c r="V326" s="5"/>
      <c r="W326" s="5"/>
      <c r="X326" s="5"/>
      <c r="Y326" s="5"/>
    </row>
    <row r="327" spans="2:25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P327" s="5"/>
      <c r="Q327" s="5"/>
      <c r="T327" s="5"/>
      <c r="U327" s="5"/>
      <c r="V327" s="5"/>
      <c r="W327" s="5"/>
      <c r="X327" s="5"/>
      <c r="Y327" s="5"/>
    </row>
    <row r="328" spans="2:25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P328" s="5"/>
      <c r="Q328" s="5"/>
      <c r="T328" s="5"/>
      <c r="U328" s="5"/>
      <c r="V328" s="5"/>
      <c r="W328" s="5"/>
      <c r="X328" s="5"/>
      <c r="Y328" s="5"/>
    </row>
    <row r="329" spans="2:25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P329" s="5"/>
      <c r="Q329" s="5"/>
      <c r="T329" s="5"/>
      <c r="U329" s="5"/>
      <c r="V329" s="5"/>
      <c r="W329" s="5"/>
      <c r="X329" s="5"/>
      <c r="Y329" s="5"/>
    </row>
    <row r="330" spans="2:25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P330" s="5"/>
      <c r="Q330" s="5"/>
      <c r="T330" s="5"/>
      <c r="U330" s="5"/>
      <c r="V330" s="5"/>
      <c r="W330" s="5"/>
      <c r="X330" s="5"/>
      <c r="Y330" s="5"/>
    </row>
    <row r="331" spans="2:25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P331" s="5"/>
      <c r="Q331" s="5"/>
      <c r="T331" s="5"/>
      <c r="U331" s="5"/>
      <c r="V331" s="5"/>
      <c r="W331" s="5"/>
      <c r="X331" s="5"/>
      <c r="Y331" s="5"/>
    </row>
    <row r="332" spans="2:25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P332" s="5"/>
      <c r="Q332" s="5"/>
      <c r="T332" s="5"/>
      <c r="U332" s="5"/>
      <c r="V332" s="5"/>
      <c r="W332" s="5"/>
      <c r="X332" s="5"/>
      <c r="Y332" s="5"/>
    </row>
    <row r="333" spans="2:25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P333" s="5"/>
      <c r="Q333" s="5"/>
      <c r="T333" s="5"/>
      <c r="U333" s="5"/>
      <c r="V333" s="5"/>
      <c r="W333" s="5"/>
      <c r="X333" s="5"/>
      <c r="Y333" s="5"/>
    </row>
    <row r="334" spans="2:25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P334" s="5"/>
      <c r="Q334" s="5"/>
      <c r="T334" s="5"/>
      <c r="U334" s="5"/>
      <c r="V334" s="5"/>
      <c r="W334" s="5"/>
      <c r="X334" s="5"/>
      <c r="Y334" s="5"/>
    </row>
    <row r="335" spans="2:25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P335" s="5"/>
      <c r="Q335" s="5"/>
      <c r="T335" s="5"/>
      <c r="U335" s="5"/>
      <c r="V335" s="5"/>
      <c r="W335" s="5"/>
      <c r="X335" s="5"/>
      <c r="Y335" s="5"/>
    </row>
    <row r="336" spans="2:25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P336" s="5"/>
      <c r="Q336" s="5"/>
      <c r="T336" s="5"/>
      <c r="U336" s="5"/>
      <c r="V336" s="5"/>
      <c r="W336" s="5"/>
      <c r="X336" s="5"/>
      <c r="Y336" s="5"/>
    </row>
    <row r="337" spans="2:25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P337" s="5"/>
      <c r="Q337" s="5"/>
      <c r="T337" s="5"/>
      <c r="U337" s="5"/>
      <c r="V337" s="5"/>
      <c r="W337" s="5"/>
      <c r="X337" s="5"/>
      <c r="Y337" s="5"/>
    </row>
    <row r="338" spans="2:2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P338" s="5"/>
      <c r="Q338" s="5"/>
      <c r="T338" s="5"/>
      <c r="U338" s="5"/>
      <c r="V338" s="5"/>
      <c r="W338" s="5"/>
      <c r="X338" s="5"/>
      <c r="Y338" s="5"/>
    </row>
    <row r="339" spans="2:2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P339" s="5"/>
      <c r="Q339" s="5"/>
      <c r="T339" s="5"/>
      <c r="U339" s="5"/>
      <c r="V339" s="5"/>
      <c r="W339" s="5"/>
      <c r="X339" s="5"/>
      <c r="Y339" s="5"/>
    </row>
    <row r="340" spans="2:25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P340" s="5"/>
      <c r="Q340" s="5"/>
      <c r="T340" s="5"/>
      <c r="U340" s="5"/>
      <c r="V340" s="5"/>
      <c r="W340" s="5"/>
      <c r="X340" s="5"/>
      <c r="Y340" s="5"/>
    </row>
    <row r="341" spans="2:25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P341" s="5"/>
      <c r="Q341" s="5"/>
      <c r="T341" s="5"/>
      <c r="U341" s="5"/>
      <c r="V341" s="5"/>
      <c r="W341" s="5"/>
      <c r="X341" s="5"/>
      <c r="Y341" s="5"/>
    </row>
    <row r="342" spans="2:25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P342" s="5"/>
      <c r="Q342" s="5"/>
      <c r="T342" s="5"/>
      <c r="U342" s="5"/>
      <c r="V342" s="5"/>
      <c r="W342" s="5"/>
      <c r="X342" s="5"/>
      <c r="Y342" s="5"/>
    </row>
    <row r="343" spans="2:25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P343" s="5"/>
      <c r="Q343" s="5"/>
      <c r="T343" s="5"/>
      <c r="U343" s="5"/>
      <c r="V343" s="5"/>
      <c r="W343" s="5"/>
      <c r="X343" s="5"/>
      <c r="Y343" s="5"/>
    </row>
    <row r="344" spans="2:25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P344" s="5"/>
      <c r="Q344" s="5"/>
      <c r="T344" s="5"/>
      <c r="U344" s="5"/>
      <c r="V344" s="5"/>
      <c r="W344" s="5"/>
      <c r="X344" s="5"/>
      <c r="Y344" s="5"/>
    </row>
    <row r="345" spans="2:25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P345" s="5"/>
      <c r="Q345" s="5"/>
      <c r="T345" s="5"/>
      <c r="U345" s="5"/>
      <c r="V345" s="5"/>
      <c r="W345" s="5"/>
      <c r="X345" s="5"/>
      <c r="Y345" s="5"/>
    </row>
    <row r="346" spans="2:25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P346" s="5"/>
      <c r="Q346" s="5"/>
      <c r="T346" s="5"/>
      <c r="U346" s="5"/>
      <c r="V346" s="5"/>
      <c r="W346" s="5"/>
      <c r="X346" s="5"/>
      <c r="Y346" s="5"/>
    </row>
    <row r="347" spans="2:25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P347" s="5"/>
      <c r="Q347" s="5"/>
      <c r="T347" s="5"/>
      <c r="U347" s="5"/>
      <c r="V347" s="5"/>
      <c r="W347" s="5"/>
      <c r="X347" s="5"/>
      <c r="Y347" s="5"/>
    </row>
    <row r="348" spans="2:25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P348" s="5"/>
      <c r="Q348" s="5"/>
      <c r="T348" s="5"/>
      <c r="U348" s="5"/>
      <c r="V348" s="5"/>
      <c r="W348" s="5"/>
      <c r="X348" s="5"/>
      <c r="Y348" s="5"/>
    </row>
    <row r="349" spans="2:25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P349" s="5"/>
      <c r="Q349" s="5"/>
      <c r="T349" s="5"/>
      <c r="U349" s="5"/>
      <c r="V349" s="5"/>
      <c r="W349" s="5"/>
      <c r="X349" s="5"/>
      <c r="Y349" s="5"/>
    </row>
    <row r="350" spans="2:25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P350" s="5"/>
      <c r="Q350" s="5"/>
      <c r="T350" s="5"/>
      <c r="U350" s="5"/>
      <c r="V350" s="5"/>
      <c r="W350" s="5"/>
      <c r="X350" s="5"/>
      <c r="Y350" s="5"/>
    </row>
    <row r="351" spans="2:25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P351" s="5"/>
      <c r="Q351" s="5"/>
      <c r="T351" s="5"/>
      <c r="U351" s="5"/>
      <c r="V351" s="5"/>
      <c r="W351" s="5"/>
      <c r="X351" s="5"/>
      <c r="Y351" s="5"/>
    </row>
    <row r="352" spans="2:25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P352" s="5"/>
      <c r="Q352" s="5"/>
      <c r="T352" s="5"/>
      <c r="U352" s="5"/>
      <c r="V352" s="5"/>
      <c r="W352" s="5"/>
      <c r="X352" s="5"/>
      <c r="Y352" s="5"/>
    </row>
    <row r="353" spans="2:25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P353" s="5"/>
      <c r="Q353" s="5"/>
      <c r="T353" s="5"/>
      <c r="U353" s="5"/>
      <c r="V353" s="5"/>
      <c r="W353" s="5"/>
      <c r="X353" s="5"/>
      <c r="Y353" s="5"/>
    </row>
    <row r="354" spans="2:25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P354" s="5"/>
      <c r="Q354" s="5"/>
      <c r="T354" s="5"/>
      <c r="U354" s="5"/>
      <c r="V354" s="5"/>
      <c r="W354" s="5"/>
      <c r="X354" s="5"/>
      <c r="Y354" s="5"/>
    </row>
    <row r="355" spans="2:25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P355" s="5"/>
      <c r="Q355" s="5"/>
      <c r="T355" s="5"/>
      <c r="U355" s="5"/>
      <c r="V355" s="5"/>
      <c r="W355" s="5"/>
      <c r="X355" s="5"/>
      <c r="Y355" s="5"/>
    </row>
    <row r="356" spans="2:25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P356" s="5"/>
      <c r="Q356" s="5"/>
      <c r="T356" s="5"/>
      <c r="U356" s="5"/>
      <c r="V356" s="5"/>
      <c r="W356" s="5"/>
      <c r="X356" s="5"/>
      <c r="Y356" s="5"/>
    </row>
    <row r="357" spans="2:25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P357" s="5"/>
      <c r="Q357" s="5"/>
      <c r="T357" s="5"/>
      <c r="U357" s="5"/>
      <c r="V357" s="5"/>
      <c r="W357" s="5"/>
      <c r="X357" s="5"/>
      <c r="Y357" s="5"/>
    </row>
    <row r="358" spans="2:25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P358" s="5"/>
      <c r="Q358" s="5"/>
      <c r="T358" s="5"/>
      <c r="U358" s="5"/>
      <c r="V358" s="5"/>
      <c r="W358" s="5"/>
      <c r="X358" s="5"/>
      <c r="Y358" s="5"/>
    </row>
    <row r="359" spans="2:25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P359" s="5"/>
      <c r="Q359" s="5"/>
      <c r="T359" s="5"/>
      <c r="U359" s="5"/>
      <c r="V359" s="5"/>
      <c r="W359" s="5"/>
      <c r="X359" s="5"/>
      <c r="Y359" s="5"/>
    </row>
    <row r="360" spans="2:25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P360" s="5"/>
      <c r="Q360" s="5"/>
      <c r="T360" s="5"/>
      <c r="U360" s="5"/>
      <c r="V360" s="5"/>
      <c r="W360" s="5"/>
      <c r="X360" s="5"/>
      <c r="Y360" s="5"/>
    </row>
    <row r="361" spans="2:25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P361" s="5"/>
      <c r="Q361" s="5"/>
      <c r="T361" s="5"/>
      <c r="U361" s="5"/>
      <c r="V361" s="5"/>
      <c r="W361" s="5"/>
      <c r="X361" s="5"/>
      <c r="Y361" s="5"/>
    </row>
    <row r="362" spans="2:25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P362" s="5"/>
      <c r="Q362" s="5"/>
      <c r="T362" s="5"/>
      <c r="U362" s="5"/>
      <c r="V362" s="5"/>
      <c r="W362" s="5"/>
      <c r="X362" s="5"/>
      <c r="Y362" s="5"/>
    </row>
    <row r="363" spans="2:25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P363" s="5"/>
      <c r="Q363" s="5"/>
      <c r="T363" s="5"/>
      <c r="U363" s="5"/>
      <c r="V363" s="5"/>
      <c r="W363" s="5"/>
      <c r="X363" s="5"/>
      <c r="Y363" s="5"/>
    </row>
    <row r="364" spans="2:25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P364" s="5"/>
      <c r="Q364" s="5"/>
      <c r="T364" s="5"/>
      <c r="U364" s="5"/>
      <c r="V364" s="5"/>
      <c r="W364" s="5"/>
      <c r="X364" s="5"/>
      <c r="Y364" s="5"/>
    </row>
    <row r="365" spans="2:25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P365" s="5"/>
      <c r="Q365" s="5"/>
      <c r="T365" s="5"/>
      <c r="U365" s="5"/>
      <c r="V365" s="5"/>
      <c r="W365" s="5"/>
      <c r="X365" s="5"/>
      <c r="Y365" s="5"/>
    </row>
    <row r="366" spans="2:25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P366" s="5"/>
      <c r="Q366" s="5"/>
      <c r="T366" s="5"/>
      <c r="U366" s="5"/>
      <c r="V366" s="5"/>
      <c r="W366" s="5"/>
      <c r="X366" s="5"/>
      <c r="Y366" s="5"/>
    </row>
    <row r="367" spans="2:25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P367" s="5"/>
      <c r="Q367" s="5"/>
      <c r="T367" s="5"/>
      <c r="U367" s="5"/>
      <c r="V367" s="5"/>
      <c r="W367" s="5"/>
      <c r="X367" s="5"/>
      <c r="Y367" s="5"/>
    </row>
    <row r="368" spans="2:25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P368" s="5"/>
      <c r="Q368" s="5"/>
      <c r="T368" s="5"/>
      <c r="U368" s="5"/>
      <c r="V368" s="5"/>
      <c r="W368" s="5"/>
      <c r="X368" s="5"/>
      <c r="Y368" s="5"/>
    </row>
    <row r="369" spans="2:25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P369" s="5"/>
      <c r="Q369" s="5"/>
      <c r="T369" s="5"/>
      <c r="U369" s="5"/>
      <c r="V369" s="5"/>
      <c r="W369" s="5"/>
      <c r="X369" s="5"/>
      <c r="Y369" s="5"/>
    </row>
    <row r="370" spans="2:25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P370" s="5"/>
      <c r="Q370" s="5"/>
      <c r="T370" s="5"/>
      <c r="U370" s="5"/>
      <c r="V370" s="5"/>
      <c r="W370" s="5"/>
      <c r="X370" s="5"/>
      <c r="Y370" s="5"/>
    </row>
    <row r="371" spans="2:25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P371" s="5"/>
      <c r="Q371" s="5"/>
      <c r="T371" s="5"/>
      <c r="U371" s="5"/>
      <c r="V371" s="5"/>
      <c r="W371" s="5"/>
      <c r="X371" s="5"/>
      <c r="Y371" s="5"/>
    </row>
    <row r="372" spans="2:25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P372" s="5"/>
      <c r="Q372" s="5"/>
      <c r="T372" s="5"/>
      <c r="U372" s="5"/>
      <c r="V372" s="5"/>
      <c r="W372" s="5"/>
      <c r="X372" s="5"/>
      <c r="Y372" s="5"/>
    </row>
    <row r="373" spans="2:25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P373" s="5"/>
      <c r="Q373" s="5"/>
      <c r="T373" s="5"/>
      <c r="U373" s="5"/>
      <c r="V373" s="5"/>
      <c r="W373" s="5"/>
      <c r="X373" s="5"/>
      <c r="Y373" s="5"/>
    </row>
    <row r="374" spans="2:25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P374" s="5"/>
      <c r="Q374" s="5"/>
      <c r="T374" s="5"/>
      <c r="U374" s="5"/>
      <c r="V374" s="5"/>
      <c r="W374" s="5"/>
      <c r="X374" s="5"/>
      <c r="Y374" s="5"/>
    </row>
    <row r="375" spans="2:25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P375" s="5"/>
      <c r="Q375" s="5"/>
      <c r="T375" s="5"/>
      <c r="U375" s="5"/>
      <c r="V375" s="5"/>
      <c r="W375" s="5"/>
      <c r="X375" s="5"/>
      <c r="Y375" s="5"/>
    </row>
    <row r="376" spans="2:25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P376" s="5"/>
      <c r="Q376" s="5"/>
      <c r="T376" s="5"/>
      <c r="U376" s="5"/>
      <c r="V376" s="5"/>
      <c r="W376" s="5"/>
      <c r="X376" s="5"/>
      <c r="Y376" s="5"/>
    </row>
    <row r="377" spans="2:25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P377" s="5"/>
      <c r="Q377" s="5"/>
      <c r="T377" s="5"/>
      <c r="U377" s="5"/>
      <c r="V377" s="5"/>
      <c r="W377" s="5"/>
      <c r="X377" s="5"/>
      <c r="Y377" s="5"/>
    </row>
    <row r="378" spans="2:25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P378" s="5"/>
      <c r="Q378" s="5"/>
      <c r="T378" s="5"/>
      <c r="U378" s="5"/>
      <c r="V378" s="5"/>
      <c r="W378" s="5"/>
      <c r="X378" s="5"/>
      <c r="Y378" s="5"/>
    </row>
    <row r="379" spans="2:25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P379" s="5"/>
      <c r="Q379" s="5"/>
      <c r="T379" s="5"/>
      <c r="U379" s="5"/>
      <c r="V379" s="5"/>
      <c r="W379" s="5"/>
      <c r="X379" s="5"/>
      <c r="Y379" s="5"/>
    </row>
    <row r="380" spans="2:25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P380" s="5"/>
      <c r="Q380" s="5"/>
      <c r="T380" s="5"/>
      <c r="U380" s="5"/>
      <c r="V380" s="5"/>
      <c r="W380" s="5"/>
      <c r="X380" s="5"/>
      <c r="Y380" s="5"/>
    </row>
    <row r="381" spans="2:25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P381" s="5"/>
      <c r="Q381" s="5"/>
      <c r="T381" s="5"/>
      <c r="U381" s="5"/>
      <c r="V381" s="5"/>
      <c r="W381" s="5"/>
      <c r="X381" s="5"/>
      <c r="Y381" s="5"/>
    </row>
    <row r="382" spans="2:25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P382" s="5"/>
      <c r="Q382" s="5"/>
      <c r="T382" s="5"/>
      <c r="U382" s="5"/>
      <c r="V382" s="5"/>
      <c r="W382" s="5"/>
      <c r="X382" s="5"/>
      <c r="Y382" s="5"/>
    </row>
    <row r="383" spans="2:25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P383" s="5"/>
      <c r="Q383" s="5"/>
      <c r="T383" s="5"/>
      <c r="U383" s="5"/>
      <c r="V383" s="5"/>
      <c r="W383" s="5"/>
      <c r="X383" s="5"/>
      <c r="Y383" s="5"/>
    </row>
    <row r="384" spans="2:25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P384" s="5"/>
      <c r="Q384" s="5"/>
      <c r="T384" s="5"/>
      <c r="U384" s="5"/>
      <c r="V384" s="5"/>
      <c r="W384" s="5"/>
      <c r="X384" s="5"/>
      <c r="Y384" s="5"/>
    </row>
    <row r="385" spans="2:25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P385" s="5"/>
      <c r="Q385" s="5"/>
      <c r="T385" s="5"/>
      <c r="U385" s="5"/>
      <c r="V385" s="5"/>
      <c r="W385" s="5"/>
      <c r="X385" s="5"/>
      <c r="Y385" s="5"/>
    </row>
    <row r="386" spans="2:25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P386" s="5"/>
      <c r="Q386" s="5"/>
      <c r="T386" s="5"/>
      <c r="U386" s="5"/>
      <c r="V386" s="5"/>
      <c r="W386" s="5"/>
      <c r="X386" s="5"/>
      <c r="Y386" s="5"/>
    </row>
    <row r="387" spans="2:25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P387" s="5"/>
      <c r="Q387" s="5"/>
      <c r="T387" s="5"/>
      <c r="U387" s="5"/>
      <c r="V387" s="5"/>
      <c r="W387" s="5"/>
      <c r="X387" s="5"/>
      <c r="Y387" s="5"/>
    </row>
    <row r="388" spans="2:25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P388" s="5"/>
      <c r="Q388" s="5"/>
      <c r="T388" s="5"/>
      <c r="U388" s="5"/>
      <c r="V388" s="5"/>
      <c r="W388" s="5"/>
      <c r="X388" s="5"/>
      <c r="Y388" s="5"/>
    </row>
    <row r="389" spans="2:25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P389" s="5"/>
      <c r="Q389" s="5"/>
      <c r="T389" s="5"/>
      <c r="U389" s="5"/>
      <c r="V389" s="5"/>
      <c r="W389" s="5"/>
      <c r="X389" s="5"/>
      <c r="Y389" s="5"/>
    </row>
    <row r="390" spans="2:25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P390" s="5"/>
      <c r="Q390" s="5"/>
      <c r="T390" s="5"/>
      <c r="U390" s="5"/>
      <c r="V390" s="5"/>
      <c r="W390" s="5"/>
      <c r="X390" s="5"/>
      <c r="Y390" s="5"/>
    </row>
    <row r="391" spans="2:25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P391" s="5"/>
      <c r="Q391" s="5"/>
      <c r="T391" s="5"/>
      <c r="U391" s="5"/>
      <c r="V391" s="5"/>
      <c r="W391" s="5"/>
      <c r="X391" s="5"/>
      <c r="Y391" s="5"/>
    </row>
    <row r="392" spans="2:25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P392" s="5"/>
      <c r="Q392" s="5"/>
      <c r="T392" s="5"/>
      <c r="U392" s="5"/>
      <c r="V392" s="5"/>
      <c r="W392" s="5"/>
      <c r="X392" s="5"/>
      <c r="Y392" s="5"/>
    </row>
    <row r="393" spans="2:25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P393" s="5"/>
      <c r="Q393" s="5"/>
      <c r="T393" s="5"/>
      <c r="U393" s="5"/>
      <c r="V393" s="5"/>
      <c r="W393" s="5"/>
      <c r="X393" s="5"/>
      <c r="Y393" s="5"/>
    </row>
    <row r="394" spans="2:25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P394" s="5"/>
      <c r="Q394" s="5"/>
      <c r="T394" s="5"/>
      <c r="U394" s="5"/>
      <c r="V394" s="5"/>
      <c r="W394" s="5"/>
      <c r="X394" s="5"/>
      <c r="Y394" s="5"/>
    </row>
    <row r="395" spans="2:25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P395" s="5"/>
      <c r="Q395" s="5"/>
      <c r="T395" s="5"/>
      <c r="U395" s="5"/>
      <c r="V395" s="5"/>
      <c r="W395" s="5"/>
      <c r="X395" s="5"/>
      <c r="Y395" s="5"/>
    </row>
    <row r="396" spans="2:25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P396" s="5"/>
      <c r="Q396" s="5"/>
      <c r="T396" s="5"/>
      <c r="U396" s="5"/>
      <c r="V396" s="5"/>
      <c r="W396" s="5"/>
      <c r="X396" s="5"/>
      <c r="Y396" s="5"/>
    </row>
    <row r="397" spans="2:25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P397" s="5"/>
      <c r="Q397" s="5"/>
      <c r="T397" s="5"/>
      <c r="U397" s="5"/>
      <c r="V397" s="5"/>
      <c r="W397" s="5"/>
      <c r="X397" s="5"/>
      <c r="Y397" s="5"/>
    </row>
    <row r="398" spans="2:25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P398" s="5"/>
      <c r="Q398" s="5"/>
      <c r="T398" s="5"/>
      <c r="U398" s="5"/>
      <c r="V398" s="5"/>
      <c r="W398" s="5"/>
      <c r="X398" s="5"/>
      <c r="Y398" s="5"/>
    </row>
    <row r="399" spans="2:2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P399" s="5"/>
      <c r="Q399" s="5"/>
      <c r="T399" s="5"/>
      <c r="U399" s="5"/>
      <c r="V399" s="5"/>
      <c r="W399" s="5"/>
      <c r="X399" s="5"/>
      <c r="Y399" s="5"/>
    </row>
    <row r="400" spans="2:2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P400" s="5"/>
      <c r="Q400" s="5"/>
      <c r="T400" s="5"/>
      <c r="U400" s="5"/>
      <c r="V400" s="5"/>
      <c r="W400" s="5"/>
      <c r="X400" s="5"/>
      <c r="Y400" s="5"/>
    </row>
    <row r="401" spans="2:25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P401" s="5"/>
      <c r="Q401" s="5"/>
      <c r="T401" s="5"/>
      <c r="U401" s="5"/>
      <c r="V401" s="5"/>
      <c r="W401" s="5"/>
      <c r="X401" s="5"/>
      <c r="Y401" s="5"/>
    </row>
    <row r="402" spans="2:25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P402" s="5"/>
      <c r="Q402" s="5"/>
      <c r="T402" s="5"/>
      <c r="U402" s="5"/>
      <c r="V402" s="5"/>
      <c r="W402" s="5"/>
      <c r="X402" s="5"/>
      <c r="Y402" s="5"/>
    </row>
    <row r="403" spans="2:25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P403" s="5"/>
      <c r="Q403" s="5"/>
      <c r="T403" s="5"/>
      <c r="U403" s="5"/>
      <c r="V403" s="5"/>
      <c r="W403" s="5"/>
      <c r="X403" s="5"/>
      <c r="Y403" s="5"/>
    </row>
    <row r="404" spans="2:25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P404" s="5"/>
      <c r="Q404" s="5"/>
      <c r="T404" s="5"/>
      <c r="U404" s="5"/>
      <c r="V404" s="5"/>
      <c r="W404" s="5"/>
      <c r="X404" s="5"/>
      <c r="Y404" s="5"/>
    </row>
    <row r="405" spans="2:25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P405" s="5"/>
      <c r="Q405" s="5"/>
      <c r="T405" s="5"/>
      <c r="U405" s="5"/>
      <c r="V405" s="5"/>
      <c r="W405" s="5"/>
      <c r="X405" s="5"/>
      <c r="Y405" s="5"/>
    </row>
    <row r="406" spans="2:25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P406" s="5"/>
      <c r="Q406" s="5"/>
      <c r="T406" s="5"/>
      <c r="U406" s="5"/>
      <c r="V406" s="5"/>
      <c r="W406" s="5"/>
      <c r="X406" s="5"/>
      <c r="Y406" s="5"/>
    </row>
    <row r="407" spans="2:25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P407" s="5"/>
      <c r="Q407" s="5"/>
      <c r="T407" s="5"/>
      <c r="U407" s="5"/>
      <c r="V407" s="5"/>
      <c r="W407" s="5"/>
      <c r="X407" s="5"/>
      <c r="Y407" s="5"/>
    </row>
    <row r="408" spans="2:25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P408" s="5"/>
      <c r="Q408" s="5"/>
      <c r="T408" s="5"/>
      <c r="U408" s="5"/>
      <c r="V408" s="5"/>
      <c r="W408" s="5"/>
      <c r="X408" s="5"/>
      <c r="Y408" s="5"/>
    </row>
    <row r="409" spans="2:25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P409" s="5"/>
      <c r="Q409" s="5"/>
      <c r="T409" s="5"/>
      <c r="U409" s="5"/>
      <c r="V409" s="5"/>
      <c r="W409" s="5"/>
      <c r="X409" s="5"/>
      <c r="Y409" s="5"/>
    </row>
    <row r="410" spans="2:25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P410" s="5"/>
      <c r="Q410" s="5"/>
      <c r="T410" s="5"/>
      <c r="U410" s="5"/>
      <c r="V410" s="5"/>
      <c r="W410" s="5"/>
      <c r="X410" s="5"/>
      <c r="Y410" s="5"/>
    </row>
    <row r="411" spans="2:25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P411" s="5"/>
      <c r="Q411" s="5"/>
      <c r="T411" s="5"/>
      <c r="U411" s="5"/>
      <c r="V411" s="5"/>
      <c r="W411" s="5"/>
      <c r="X411" s="5"/>
      <c r="Y411" s="5"/>
    </row>
    <row r="412" spans="2:25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P412" s="5"/>
      <c r="Q412" s="5"/>
      <c r="T412" s="5"/>
      <c r="U412" s="5"/>
      <c r="V412" s="5"/>
      <c r="W412" s="5"/>
      <c r="X412" s="5"/>
      <c r="Y412" s="5"/>
    </row>
    <row r="413" spans="2:25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P413" s="5"/>
      <c r="Q413" s="5"/>
      <c r="T413" s="5"/>
      <c r="U413" s="5"/>
      <c r="V413" s="5"/>
      <c r="W413" s="5"/>
      <c r="X413" s="5"/>
      <c r="Y413" s="5"/>
    </row>
    <row r="414" spans="2:25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P414" s="5"/>
      <c r="Q414" s="5"/>
      <c r="T414" s="5"/>
      <c r="U414" s="5"/>
      <c r="V414" s="5"/>
      <c r="W414" s="5"/>
      <c r="X414" s="5"/>
      <c r="Y414" s="5"/>
    </row>
    <row r="415" spans="2:25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P415" s="5"/>
      <c r="Q415" s="5"/>
      <c r="T415" s="5"/>
      <c r="U415" s="5"/>
      <c r="V415" s="5"/>
      <c r="W415" s="5"/>
      <c r="X415" s="5"/>
      <c r="Y415" s="5"/>
    </row>
    <row r="416" spans="2:25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P416" s="5"/>
      <c r="Q416" s="5"/>
      <c r="T416" s="5"/>
      <c r="U416" s="5"/>
      <c r="V416" s="5"/>
      <c r="W416" s="5"/>
      <c r="X416" s="5"/>
      <c r="Y416" s="5"/>
    </row>
    <row r="417" spans="2:25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P417" s="5"/>
      <c r="Q417" s="5"/>
      <c r="T417" s="5"/>
      <c r="U417" s="5"/>
      <c r="V417" s="5"/>
      <c r="W417" s="5"/>
      <c r="X417" s="5"/>
      <c r="Y417" s="5"/>
    </row>
    <row r="418" spans="2:25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P418" s="5"/>
      <c r="Q418" s="5"/>
      <c r="T418" s="5"/>
      <c r="U418" s="5"/>
      <c r="V418" s="5"/>
      <c r="W418" s="5"/>
      <c r="X418" s="5"/>
      <c r="Y418" s="5"/>
    </row>
    <row r="419" spans="2:25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P419" s="5"/>
      <c r="Q419" s="5"/>
      <c r="T419" s="5"/>
      <c r="U419" s="5"/>
      <c r="V419" s="5"/>
      <c r="W419" s="5"/>
      <c r="X419" s="5"/>
      <c r="Y419" s="5"/>
    </row>
    <row r="420" spans="2:25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P420" s="5"/>
      <c r="Q420" s="5"/>
      <c r="T420" s="5"/>
      <c r="U420" s="5"/>
      <c r="V420" s="5"/>
      <c r="W420" s="5"/>
      <c r="X420" s="5"/>
      <c r="Y420" s="5"/>
    </row>
    <row r="421" spans="2:25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P421" s="5"/>
      <c r="Q421" s="5"/>
      <c r="T421" s="5"/>
      <c r="U421" s="5"/>
      <c r="V421" s="5"/>
      <c r="W421" s="5"/>
      <c r="X421" s="5"/>
      <c r="Y421" s="5"/>
    </row>
    <row r="422" spans="2:2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P422" s="5"/>
      <c r="Q422" s="5"/>
      <c r="T422" s="5"/>
      <c r="U422" s="5"/>
      <c r="V422" s="5"/>
      <c r="W422" s="5"/>
      <c r="X422" s="5"/>
      <c r="Y422" s="5"/>
    </row>
    <row r="423" spans="2:2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P423" s="5"/>
      <c r="Q423" s="5"/>
      <c r="T423" s="5"/>
      <c r="U423" s="5"/>
      <c r="V423" s="5"/>
      <c r="W423" s="5"/>
      <c r="X423" s="5"/>
      <c r="Y423" s="5"/>
    </row>
    <row r="424" spans="2:2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P424" s="5"/>
      <c r="Q424" s="5"/>
      <c r="T424" s="5"/>
      <c r="U424" s="5"/>
      <c r="V424" s="5"/>
      <c r="W424" s="5"/>
      <c r="X424" s="5"/>
      <c r="Y424" s="5"/>
    </row>
    <row r="425" spans="2:25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P425" s="5"/>
      <c r="Q425" s="5"/>
      <c r="T425" s="5"/>
      <c r="U425" s="5"/>
      <c r="V425" s="5"/>
      <c r="W425" s="5"/>
      <c r="X425" s="5"/>
      <c r="Y425" s="5"/>
    </row>
    <row r="426" spans="2:25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P426" s="5"/>
      <c r="Q426" s="5"/>
      <c r="T426" s="5"/>
      <c r="U426" s="5"/>
      <c r="V426" s="5"/>
      <c r="W426" s="5"/>
      <c r="X426" s="5"/>
      <c r="Y426" s="5"/>
    </row>
    <row r="427" spans="2:25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P427" s="5"/>
      <c r="Q427" s="5"/>
      <c r="T427" s="5"/>
      <c r="U427" s="5"/>
      <c r="V427" s="5"/>
      <c r="W427" s="5"/>
      <c r="X427" s="5"/>
      <c r="Y427" s="5"/>
    </row>
    <row r="428" spans="2:25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P428" s="5"/>
      <c r="Q428" s="5"/>
      <c r="T428" s="5"/>
      <c r="U428" s="5"/>
      <c r="V428" s="5"/>
      <c r="W428" s="5"/>
      <c r="X428" s="5"/>
      <c r="Y428" s="5"/>
    </row>
    <row r="429" spans="2:25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P429" s="5"/>
      <c r="Q429" s="5"/>
      <c r="T429" s="5"/>
      <c r="U429" s="5"/>
      <c r="V429" s="5"/>
      <c r="W429" s="5"/>
      <c r="X429" s="5"/>
      <c r="Y429" s="5"/>
    </row>
    <row r="430" spans="2:25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P430" s="5"/>
      <c r="Q430" s="5"/>
      <c r="T430" s="5"/>
      <c r="U430" s="5"/>
      <c r="V430" s="5"/>
      <c r="W430" s="5"/>
      <c r="X430" s="5"/>
      <c r="Y430" s="5"/>
    </row>
    <row r="431" spans="2:25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P431" s="5"/>
      <c r="Q431" s="5"/>
      <c r="T431" s="5"/>
      <c r="U431" s="5"/>
      <c r="V431" s="5"/>
      <c r="W431" s="5"/>
      <c r="X431" s="5"/>
      <c r="Y431" s="5"/>
    </row>
    <row r="432" spans="2:25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P432" s="5"/>
      <c r="Q432" s="5"/>
      <c r="T432" s="5"/>
      <c r="U432" s="5"/>
      <c r="V432" s="5"/>
      <c r="W432" s="5"/>
      <c r="X432" s="5"/>
      <c r="Y432" s="5"/>
    </row>
    <row r="433" spans="2:25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P433" s="5"/>
      <c r="Q433" s="5"/>
      <c r="T433" s="5"/>
      <c r="U433" s="5"/>
      <c r="V433" s="5"/>
      <c r="W433" s="5"/>
      <c r="X433" s="5"/>
      <c r="Y433" s="5"/>
    </row>
    <row r="434" spans="2:25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P434" s="5"/>
      <c r="Q434" s="5"/>
      <c r="T434" s="5"/>
      <c r="U434" s="5"/>
      <c r="V434" s="5"/>
      <c r="W434" s="5"/>
      <c r="X434" s="5"/>
      <c r="Y434" s="5"/>
    </row>
    <row r="435" spans="2:25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P435" s="5"/>
      <c r="Q435" s="5"/>
      <c r="T435" s="5"/>
      <c r="U435" s="5"/>
      <c r="V435" s="5"/>
      <c r="W435" s="5"/>
      <c r="X435" s="5"/>
      <c r="Y435" s="5"/>
    </row>
    <row r="436" spans="2:25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P436" s="5"/>
      <c r="Q436" s="5"/>
      <c r="T436" s="5"/>
      <c r="U436" s="5"/>
      <c r="V436" s="5"/>
      <c r="W436" s="5"/>
      <c r="X436" s="5"/>
      <c r="Y436" s="5"/>
    </row>
    <row r="437" spans="2:25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P437" s="5"/>
      <c r="Q437" s="5"/>
      <c r="T437" s="5"/>
      <c r="U437" s="5"/>
      <c r="V437" s="5"/>
      <c r="W437" s="5"/>
      <c r="X437" s="5"/>
      <c r="Y437" s="5"/>
    </row>
    <row r="438" spans="2:25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P438" s="5"/>
      <c r="Q438" s="5"/>
      <c r="T438" s="5"/>
      <c r="U438" s="5"/>
      <c r="V438" s="5"/>
      <c r="W438" s="5"/>
      <c r="X438" s="5"/>
      <c r="Y438" s="5"/>
    </row>
    <row r="439" spans="2:25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P439" s="5"/>
      <c r="Q439" s="5"/>
      <c r="T439" s="5"/>
      <c r="U439" s="5"/>
      <c r="V439" s="5"/>
      <c r="W439" s="5"/>
      <c r="X439" s="5"/>
      <c r="Y439" s="5"/>
    </row>
    <row r="440" spans="2:25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P440" s="5"/>
      <c r="Q440" s="5"/>
      <c r="T440" s="5"/>
      <c r="U440" s="5"/>
      <c r="V440" s="5"/>
      <c r="W440" s="5"/>
      <c r="X440" s="5"/>
      <c r="Y440" s="5"/>
    </row>
    <row r="441" spans="2:25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P441" s="5"/>
      <c r="Q441" s="5"/>
      <c r="T441" s="5"/>
      <c r="U441" s="5"/>
      <c r="V441" s="5"/>
      <c r="W441" s="5"/>
      <c r="X441" s="5"/>
      <c r="Y441" s="5"/>
    </row>
    <row r="442" spans="2:25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P442" s="5"/>
      <c r="Q442" s="5"/>
      <c r="T442" s="5"/>
      <c r="U442" s="5"/>
      <c r="V442" s="5"/>
      <c r="W442" s="5"/>
      <c r="X442" s="5"/>
      <c r="Y442" s="5"/>
    </row>
    <row r="443" spans="2:25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P443" s="5"/>
      <c r="Q443" s="5"/>
      <c r="T443" s="5"/>
      <c r="U443" s="5"/>
      <c r="V443" s="5"/>
      <c r="W443" s="5"/>
      <c r="X443" s="5"/>
      <c r="Y443" s="5"/>
    </row>
    <row r="444" spans="2:25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P444" s="5"/>
      <c r="Q444" s="5"/>
      <c r="T444" s="5"/>
      <c r="U444" s="5"/>
      <c r="V444" s="5"/>
      <c r="W444" s="5"/>
      <c r="X444" s="5"/>
      <c r="Y444" s="5"/>
    </row>
    <row r="445" spans="2:25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P445" s="5"/>
      <c r="Q445" s="5"/>
      <c r="T445" s="5"/>
      <c r="U445" s="5"/>
      <c r="V445" s="5"/>
      <c r="W445" s="5"/>
      <c r="X445" s="5"/>
      <c r="Y445" s="5"/>
    </row>
    <row r="446" spans="2:25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P446" s="5"/>
      <c r="Q446" s="5"/>
      <c r="T446" s="5"/>
      <c r="U446" s="5"/>
      <c r="V446" s="5"/>
      <c r="W446" s="5"/>
      <c r="X446" s="5"/>
      <c r="Y446" s="5"/>
    </row>
    <row r="447" spans="2:25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P447" s="5"/>
      <c r="Q447" s="5"/>
      <c r="T447" s="5"/>
      <c r="U447" s="5"/>
      <c r="V447" s="5"/>
      <c r="W447" s="5"/>
      <c r="X447" s="5"/>
      <c r="Y447" s="5"/>
    </row>
    <row r="448" spans="2:25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P448" s="5"/>
      <c r="Q448" s="5"/>
      <c r="T448" s="5"/>
      <c r="U448" s="5"/>
      <c r="V448" s="5"/>
      <c r="W448" s="5"/>
      <c r="X448" s="5"/>
      <c r="Y448" s="5"/>
    </row>
    <row r="449" spans="2:25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P449" s="5"/>
      <c r="Q449" s="5"/>
      <c r="T449" s="5"/>
      <c r="U449" s="5"/>
      <c r="V449" s="5"/>
      <c r="W449" s="5"/>
      <c r="X449" s="5"/>
      <c r="Y449" s="5"/>
    </row>
    <row r="450" spans="2:25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P450" s="5"/>
      <c r="Q450" s="5"/>
      <c r="T450" s="5"/>
      <c r="U450" s="5"/>
      <c r="V450" s="5"/>
      <c r="W450" s="5"/>
      <c r="X450" s="5"/>
      <c r="Y450" s="5"/>
    </row>
    <row r="451" spans="2:25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P451" s="5"/>
      <c r="Q451" s="5"/>
      <c r="T451" s="5"/>
      <c r="U451" s="5"/>
      <c r="V451" s="5"/>
      <c r="W451" s="5"/>
      <c r="X451" s="5"/>
      <c r="Y451" s="5"/>
    </row>
    <row r="452" spans="2:25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P452" s="5"/>
      <c r="Q452" s="5"/>
      <c r="T452" s="5"/>
      <c r="U452" s="5"/>
      <c r="V452" s="5"/>
      <c r="W452" s="5"/>
      <c r="X452" s="5"/>
      <c r="Y452" s="5"/>
    </row>
    <row r="453" spans="2:25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P453" s="5"/>
      <c r="Q453" s="5"/>
      <c r="T453" s="5"/>
      <c r="U453" s="5"/>
      <c r="V453" s="5"/>
      <c r="W453" s="5"/>
      <c r="X453" s="5"/>
      <c r="Y453" s="5"/>
    </row>
    <row r="454" spans="2:25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P454" s="5"/>
      <c r="Q454" s="5"/>
      <c r="T454" s="5"/>
      <c r="U454" s="5"/>
      <c r="V454" s="5"/>
      <c r="W454" s="5"/>
      <c r="X454" s="5"/>
      <c r="Y454" s="5"/>
    </row>
    <row r="455" spans="2:25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P455" s="5"/>
      <c r="Q455" s="5"/>
      <c r="T455" s="5"/>
      <c r="U455" s="5"/>
      <c r="V455" s="5"/>
      <c r="W455" s="5"/>
      <c r="X455" s="5"/>
      <c r="Y455" s="5"/>
    </row>
    <row r="456" spans="2:25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P456" s="5"/>
      <c r="Q456" s="5"/>
      <c r="T456" s="5"/>
      <c r="U456" s="5"/>
      <c r="V456" s="5"/>
      <c r="W456" s="5"/>
      <c r="X456" s="5"/>
      <c r="Y456" s="5"/>
    </row>
    <row r="457" spans="2:25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P457" s="5"/>
      <c r="Q457" s="5"/>
      <c r="T457" s="5"/>
      <c r="U457" s="5"/>
      <c r="V457" s="5"/>
      <c r="W457" s="5"/>
      <c r="X457" s="5"/>
      <c r="Y457" s="5"/>
    </row>
    <row r="458" spans="2:25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P458" s="5"/>
      <c r="Q458" s="5"/>
      <c r="T458" s="5"/>
      <c r="U458" s="5"/>
      <c r="V458" s="5"/>
      <c r="W458" s="5"/>
      <c r="X458" s="5"/>
      <c r="Y458" s="5"/>
    </row>
    <row r="459" spans="2:25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P459" s="5"/>
      <c r="Q459" s="5"/>
      <c r="T459" s="5"/>
      <c r="U459" s="5"/>
      <c r="V459" s="5"/>
      <c r="W459" s="5"/>
      <c r="X459" s="5"/>
      <c r="Y459" s="5"/>
    </row>
    <row r="460" spans="2:25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P460" s="5"/>
      <c r="Q460" s="5"/>
      <c r="T460" s="5"/>
      <c r="U460" s="5"/>
      <c r="V460" s="5"/>
      <c r="W460" s="5"/>
      <c r="X460" s="5"/>
      <c r="Y460" s="5"/>
    </row>
    <row r="461" spans="2:25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P461" s="5"/>
      <c r="Q461" s="5"/>
      <c r="T461" s="5"/>
      <c r="U461" s="5"/>
      <c r="V461" s="5"/>
      <c r="W461" s="5"/>
      <c r="X461" s="5"/>
      <c r="Y461" s="5"/>
    </row>
    <row r="462" spans="2:25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P462" s="5"/>
      <c r="Q462" s="5"/>
      <c r="T462" s="5"/>
      <c r="U462" s="5"/>
      <c r="V462" s="5"/>
      <c r="W462" s="5"/>
      <c r="X462" s="5"/>
      <c r="Y462" s="5"/>
    </row>
    <row r="463" spans="2:25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P463" s="5"/>
      <c r="Q463" s="5"/>
      <c r="T463" s="5"/>
      <c r="U463" s="5"/>
      <c r="V463" s="5"/>
      <c r="W463" s="5"/>
      <c r="X463" s="5"/>
      <c r="Y463" s="5"/>
    </row>
    <row r="464" spans="2:2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P464" s="5"/>
      <c r="Q464" s="5"/>
      <c r="T464" s="5"/>
      <c r="U464" s="5"/>
      <c r="V464" s="5"/>
      <c r="W464" s="5"/>
      <c r="X464" s="5"/>
      <c r="Y464" s="5"/>
    </row>
    <row r="465" spans="2:25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P465" s="5"/>
      <c r="Q465" s="5"/>
      <c r="T465" s="5"/>
      <c r="U465" s="5"/>
      <c r="V465" s="5"/>
      <c r="W465" s="5"/>
      <c r="X465" s="5"/>
      <c r="Y465" s="5"/>
    </row>
    <row r="466" spans="2:25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P466" s="5"/>
      <c r="Q466" s="5"/>
      <c r="T466" s="5"/>
      <c r="U466" s="5"/>
      <c r="V466" s="5"/>
      <c r="W466" s="5"/>
      <c r="X466" s="5"/>
      <c r="Y466" s="5"/>
    </row>
    <row r="467" spans="2:25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P467" s="5"/>
      <c r="Q467" s="5"/>
      <c r="T467" s="5"/>
      <c r="U467" s="5"/>
      <c r="V467" s="5"/>
      <c r="W467" s="5"/>
      <c r="X467" s="5"/>
      <c r="Y467" s="5"/>
    </row>
    <row r="468" spans="2:25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P468" s="5"/>
      <c r="Q468" s="5"/>
      <c r="T468" s="5"/>
      <c r="U468" s="5"/>
      <c r="V468" s="5"/>
      <c r="W468" s="5"/>
      <c r="X468" s="5"/>
      <c r="Y468" s="5"/>
    </row>
    <row r="469" spans="2:25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P469" s="5"/>
      <c r="Q469" s="5"/>
      <c r="T469" s="5"/>
      <c r="U469" s="5"/>
      <c r="V469" s="5"/>
      <c r="W469" s="5"/>
      <c r="X469" s="5"/>
      <c r="Y469" s="5"/>
    </row>
    <row r="470" spans="2:25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P470" s="5"/>
      <c r="Q470" s="5"/>
      <c r="T470" s="5"/>
      <c r="U470" s="5"/>
      <c r="V470" s="5"/>
      <c r="W470" s="5"/>
      <c r="X470" s="5"/>
      <c r="Y470" s="5"/>
    </row>
    <row r="471" spans="2:25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P471" s="5"/>
      <c r="Q471" s="5"/>
      <c r="T471" s="5"/>
      <c r="U471" s="5"/>
      <c r="V471" s="5"/>
      <c r="W471" s="5"/>
      <c r="X471" s="5"/>
      <c r="Y471" s="5"/>
    </row>
    <row r="472" spans="2:25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P472" s="5"/>
      <c r="Q472" s="5"/>
      <c r="T472" s="5"/>
      <c r="U472" s="5"/>
      <c r="V472" s="5"/>
      <c r="W472" s="5"/>
      <c r="X472" s="5"/>
      <c r="Y472" s="5"/>
    </row>
    <row r="473" spans="2:25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P473" s="5"/>
      <c r="Q473" s="5"/>
      <c r="T473" s="5"/>
      <c r="U473" s="5"/>
      <c r="V473" s="5"/>
      <c r="W473" s="5"/>
      <c r="X473" s="5"/>
      <c r="Y473" s="5"/>
    </row>
    <row r="474" spans="2:25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P474" s="5"/>
      <c r="Q474" s="5"/>
      <c r="T474" s="5"/>
      <c r="U474" s="5"/>
      <c r="V474" s="5"/>
      <c r="W474" s="5"/>
      <c r="X474" s="5"/>
      <c r="Y474" s="5"/>
    </row>
    <row r="475" spans="2:25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P475" s="5"/>
      <c r="Q475" s="5"/>
      <c r="T475" s="5"/>
      <c r="U475" s="5"/>
      <c r="V475" s="5"/>
      <c r="W475" s="5"/>
      <c r="X475" s="5"/>
      <c r="Y475" s="5"/>
    </row>
    <row r="476" spans="2:25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P476" s="5"/>
      <c r="Q476" s="5"/>
      <c r="T476" s="5"/>
      <c r="U476" s="5"/>
      <c r="V476" s="5"/>
      <c r="W476" s="5"/>
      <c r="X476" s="5"/>
      <c r="Y476" s="5"/>
    </row>
    <row r="477" spans="2:25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P477" s="5"/>
      <c r="Q477" s="5"/>
      <c r="T477" s="5"/>
      <c r="U477" s="5"/>
      <c r="V477" s="5"/>
      <c r="W477" s="5"/>
      <c r="X477" s="5"/>
      <c r="Y477" s="5"/>
    </row>
    <row r="478" spans="2:2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P478" s="5"/>
      <c r="Q478" s="5"/>
      <c r="T478" s="5"/>
      <c r="U478" s="5"/>
      <c r="V478" s="5"/>
      <c r="W478" s="5"/>
      <c r="X478" s="5"/>
      <c r="Y478" s="5"/>
    </row>
    <row r="479" spans="2:2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P479" s="5"/>
      <c r="Q479" s="5"/>
      <c r="T479" s="5"/>
      <c r="U479" s="5"/>
      <c r="V479" s="5"/>
      <c r="W479" s="5"/>
      <c r="X479" s="5"/>
      <c r="Y479" s="5"/>
    </row>
    <row r="480" spans="2:25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P480" s="5"/>
      <c r="Q480" s="5"/>
      <c r="T480" s="5"/>
      <c r="U480" s="5"/>
      <c r="V480" s="5"/>
      <c r="W480" s="5"/>
      <c r="X480" s="5"/>
      <c r="Y480" s="5"/>
    </row>
    <row r="481" spans="2:25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P481" s="5"/>
      <c r="Q481" s="5"/>
      <c r="T481" s="5"/>
      <c r="U481" s="5"/>
      <c r="V481" s="5"/>
      <c r="W481" s="5"/>
      <c r="X481" s="5"/>
      <c r="Y481" s="5"/>
    </row>
    <row r="482" spans="2:25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P482" s="5"/>
      <c r="Q482" s="5"/>
      <c r="T482" s="5"/>
      <c r="U482" s="5"/>
      <c r="V482" s="5"/>
      <c r="W482" s="5"/>
      <c r="X482" s="5"/>
      <c r="Y482" s="5"/>
    </row>
    <row r="483" spans="2:25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P483" s="5"/>
      <c r="Q483" s="5"/>
      <c r="T483" s="5"/>
      <c r="U483" s="5"/>
      <c r="V483" s="5"/>
      <c r="W483" s="5"/>
      <c r="X483" s="5"/>
      <c r="Y483" s="5"/>
    </row>
    <row r="484" spans="2:25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P484" s="5"/>
      <c r="Q484" s="5"/>
      <c r="T484" s="5"/>
      <c r="U484" s="5"/>
      <c r="V484" s="5"/>
      <c r="W484" s="5"/>
      <c r="X484" s="5"/>
      <c r="Y484" s="5"/>
    </row>
    <row r="485" spans="2:25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P485" s="5"/>
      <c r="Q485" s="5"/>
      <c r="T485" s="5"/>
      <c r="U485" s="5"/>
      <c r="V485" s="5"/>
      <c r="W485" s="5"/>
      <c r="X485" s="5"/>
      <c r="Y485" s="5"/>
    </row>
    <row r="486" spans="2:25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P486" s="5"/>
      <c r="Q486" s="5"/>
      <c r="T486" s="5"/>
      <c r="U486" s="5"/>
      <c r="V486" s="5"/>
      <c r="W486" s="5"/>
      <c r="X486" s="5"/>
      <c r="Y486" s="5"/>
    </row>
    <row r="487" spans="2:25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P487" s="5"/>
      <c r="Q487" s="5"/>
      <c r="T487" s="5"/>
      <c r="U487" s="5"/>
      <c r="V487" s="5"/>
      <c r="W487" s="5"/>
      <c r="X487" s="5"/>
      <c r="Y487" s="5"/>
    </row>
    <row r="488" spans="2:25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P488" s="5"/>
      <c r="Q488" s="5"/>
      <c r="T488" s="5"/>
      <c r="U488" s="5"/>
      <c r="V488" s="5"/>
      <c r="W488" s="5"/>
      <c r="X488" s="5"/>
      <c r="Y488" s="5"/>
    </row>
    <row r="489" spans="2:25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P489" s="5"/>
      <c r="Q489" s="5"/>
      <c r="T489" s="5"/>
      <c r="U489" s="5"/>
      <c r="V489" s="5"/>
      <c r="W489" s="5"/>
      <c r="X489" s="5"/>
      <c r="Y489" s="5"/>
    </row>
    <row r="490" spans="2:25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P490" s="5"/>
      <c r="Q490" s="5"/>
      <c r="T490" s="5"/>
      <c r="U490" s="5"/>
      <c r="V490" s="5"/>
      <c r="W490" s="5"/>
      <c r="X490" s="5"/>
      <c r="Y490" s="5"/>
    </row>
    <row r="491" spans="2:25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P491" s="5"/>
      <c r="Q491" s="5"/>
      <c r="T491" s="5"/>
      <c r="U491" s="5"/>
      <c r="V491" s="5"/>
      <c r="W491" s="5"/>
      <c r="X491" s="5"/>
      <c r="Y491" s="5"/>
    </row>
    <row r="492" spans="2:2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P492" s="5"/>
      <c r="Q492" s="5"/>
      <c r="T492" s="5"/>
      <c r="U492" s="5"/>
      <c r="V492" s="5"/>
      <c r="W492" s="5"/>
      <c r="X492" s="5"/>
      <c r="Y492" s="5"/>
    </row>
    <row r="493" spans="2:2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P493" s="5"/>
      <c r="Q493" s="5"/>
      <c r="T493" s="5"/>
      <c r="U493" s="5"/>
      <c r="V493" s="5"/>
      <c r="W493" s="5"/>
      <c r="X493" s="5"/>
      <c r="Y493" s="5"/>
    </row>
    <row r="494" spans="2:25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P494" s="5"/>
      <c r="Q494" s="5"/>
      <c r="T494" s="5"/>
      <c r="U494" s="5"/>
      <c r="V494" s="5"/>
      <c r="W494" s="5"/>
      <c r="X494" s="5"/>
      <c r="Y494" s="5"/>
    </row>
    <row r="495" spans="2:25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P495" s="5"/>
      <c r="Q495" s="5"/>
      <c r="T495" s="5"/>
      <c r="U495" s="5"/>
      <c r="V495" s="5"/>
      <c r="W495" s="5"/>
      <c r="X495" s="5"/>
      <c r="Y495" s="5"/>
    </row>
    <row r="496" spans="2:25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P496" s="5"/>
      <c r="Q496" s="5"/>
      <c r="T496" s="5"/>
      <c r="U496" s="5"/>
      <c r="V496" s="5"/>
      <c r="W496" s="5"/>
      <c r="X496" s="5"/>
      <c r="Y496" s="5"/>
    </row>
    <row r="497" spans="2:25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P497" s="5"/>
      <c r="Q497" s="5"/>
      <c r="T497" s="5"/>
      <c r="U497" s="5"/>
      <c r="V497" s="5"/>
      <c r="W497" s="5"/>
      <c r="X497" s="5"/>
      <c r="Y497" s="5"/>
    </row>
    <row r="498" spans="2:25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P498" s="5"/>
      <c r="Q498" s="5"/>
      <c r="T498" s="5"/>
      <c r="U498" s="5"/>
      <c r="V498" s="5"/>
      <c r="W498" s="5"/>
      <c r="X498" s="5"/>
      <c r="Y498" s="5"/>
    </row>
    <row r="499" spans="2:25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P499" s="5"/>
      <c r="Q499" s="5"/>
      <c r="T499" s="5"/>
      <c r="U499" s="5"/>
      <c r="V499" s="5"/>
      <c r="W499" s="5"/>
      <c r="X499" s="5"/>
      <c r="Y499" s="5"/>
    </row>
    <row r="500" spans="2:2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P500" s="5"/>
      <c r="Q500" s="5"/>
      <c r="T500" s="5"/>
      <c r="U500" s="5"/>
      <c r="V500" s="5"/>
      <c r="W500" s="5"/>
      <c r="X500" s="5"/>
      <c r="Y500" s="5"/>
    </row>
    <row r="501" spans="2:2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P501" s="5"/>
      <c r="Q501" s="5"/>
      <c r="T501" s="5"/>
      <c r="U501" s="5"/>
      <c r="V501" s="5"/>
      <c r="W501" s="5"/>
      <c r="X501" s="5"/>
      <c r="Y501" s="5"/>
    </row>
    <row r="502" spans="2:2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P502" s="5"/>
      <c r="Q502" s="5"/>
      <c r="T502" s="5"/>
      <c r="U502" s="5"/>
      <c r="V502" s="5"/>
      <c r="W502" s="5"/>
      <c r="X502" s="5"/>
      <c r="Y502" s="5"/>
    </row>
    <row r="503" spans="2:2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P503" s="5"/>
      <c r="Q503" s="5"/>
      <c r="T503" s="5"/>
      <c r="U503" s="5"/>
      <c r="V503" s="5"/>
      <c r="W503" s="5"/>
      <c r="X503" s="5"/>
      <c r="Y503" s="5"/>
    </row>
    <row r="504" spans="2:2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P504" s="5"/>
      <c r="Q504" s="5"/>
      <c r="T504" s="5"/>
      <c r="U504" s="5"/>
      <c r="V504" s="5"/>
      <c r="W504" s="5"/>
      <c r="X504" s="5"/>
      <c r="Y504" s="5"/>
    </row>
    <row r="505" spans="2:25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P505" s="5"/>
      <c r="Q505" s="5"/>
      <c r="T505" s="5"/>
      <c r="U505" s="5"/>
      <c r="V505" s="5"/>
      <c r="W505" s="5"/>
      <c r="X505" s="5"/>
      <c r="Y505" s="5"/>
    </row>
    <row r="506" spans="2:25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P506" s="5"/>
      <c r="Q506" s="5"/>
      <c r="T506" s="5"/>
      <c r="U506" s="5"/>
      <c r="V506" s="5"/>
      <c r="W506" s="5"/>
      <c r="X506" s="5"/>
      <c r="Y506" s="5"/>
    </row>
    <row r="507" spans="2:25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P507" s="5"/>
      <c r="Q507" s="5"/>
      <c r="T507" s="5"/>
      <c r="U507" s="5"/>
      <c r="V507" s="5"/>
      <c r="W507" s="5"/>
      <c r="X507" s="5"/>
      <c r="Y507" s="5"/>
    </row>
    <row r="508" spans="2:25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P508" s="5"/>
      <c r="Q508" s="5"/>
      <c r="T508" s="5"/>
      <c r="U508" s="5"/>
      <c r="V508" s="5"/>
      <c r="W508" s="5"/>
      <c r="X508" s="5"/>
      <c r="Y508" s="5"/>
    </row>
    <row r="509" spans="2:25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P509" s="5"/>
      <c r="Q509" s="5"/>
      <c r="T509" s="5"/>
      <c r="U509" s="5"/>
      <c r="V509" s="5"/>
      <c r="W509" s="5"/>
      <c r="X509" s="5"/>
      <c r="Y509" s="5"/>
    </row>
    <row r="510" spans="2:25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P510" s="5"/>
      <c r="Q510" s="5"/>
      <c r="T510" s="5"/>
      <c r="U510" s="5"/>
      <c r="V510" s="5"/>
      <c r="W510" s="5"/>
      <c r="X510" s="5"/>
      <c r="Y510" s="5"/>
    </row>
    <row r="511" spans="2:25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P511" s="5"/>
      <c r="Q511" s="5"/>
      <c r="T511" s="5"/>
      <c r="U511" s="5"/>
      <c r="V511" s="5"/>
      <c r="W511" s="5"/>
      <c r="X511" s="5"/>
      <c r="Y511" s="5"/>
    </row>
    <row r="512" spans="2:25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P512" s="5"/>
      <c r="Q512" s="5"/>
      <c r="T512" s="5"/>
      <c r="U512" s="5"/>
      <c r="V512" s="5"/>
      <c r="W512" s="5"/>
      <c r="X512" s="5"/>
      <c r="Y512" s="5"/>
    </row>
    <row r="513" spans="2:25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P513" s="5"/>
      <c r="Q513" s="5"/>
      <c r="T513" s="5"/>
      <c r="U513" s="5"/>
      <c r="V513" s="5"/>
      <c r="W513" s="5"/>
      <c r="X513" s="5"/>
      <c r="Y513" s="5"/>
    </row>
    <row r="514" spans="2:25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P514" s="5"/>
      <c r="Q514" s="5"/>
      <c r="T514" s="5"/>
      <c r="U514" s="5"/>
      <c r="V514" s="5"/>
      <c r="W514" s="5"/>
      <c r="X514" s="5"/>
      <c r="Y514" s="5"/>
    </row>
    <row r="515" spans="2:25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P515" s="5"/>
      <c r="Q515" s="5"/>
      <c r="T515" s="5"/>
      <c r="U515" s="5"/>
      <c r="V515" s="5"/>
      <c r="W515" s="5"/>
      <c r="X515" s="5"/>
      <c r="Y515" s="5"/>
    </row>
    <row r="516" spans="2:25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P516" s="5"/>
      <c r="Q516" s="5"/>
      <c r="T516" s="5"/>
      <c r="U516" s="5"/>
      <c r="V516" s="5"/>
      <c r="W516" s="5"/>
      <c r="X516" s="5"/>
      <c r="Y516" s="5"/>
    </row>
    <row r="517" spans="2:25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P517" s="5"/>
      <c r="Q517" s="5"/>
      <c r="T517" s="5"/>
      <c r="U517" s="5"/>
      <c r="V517" s="5"/>
      <c r="W517" s="5"/>
      <c r="X517" s="5"/>
      <c r="Y517" s="5"/>
    </row>
    <row r="518" spans="2:25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P518" s="5"/>
      <c r="Q518" s="5"/>
      <c r="T518" s="5"/>
      <c r="U518" s="5"/>
      <c r="V518" s="5"/>
      <c r="W518" s="5"/>
      <c r="X518" s="5"/>
      <c r="Y518" s="5"/>
    </row>
    <row r="519" spans="2:25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P519" s="5"/>
      <c r="Q519" s="5"/>
      <c r="T519" s="5"/>
      <c r="U519" s="5"/>
      <c r="V519" s="5"/>
      <c r="W519" s="5"/>
      <c r="X519" s="5"/>
      <c r="Y519" s="5"/>
    </row>
    <row r="520" spans="2:25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P520" s="5"/>
      <c r="Q520" s="5"/>
      <c r="T520" s="5"/>
      <c r="U520" s="5"/>
      <c r="V520" s="5"/>
      <c r="W520" s="5"/>
      <c r="X520" s="5"/>
      <c r="Y520" s="5"/>
    </row>
    <row r="521" spans="2:25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P521" s="5"/>
      <c r="Q521" s="5"/>
      <c r="T521" s="5"/>
      <c r="U521" s="5"/>
      <c r="V521" s="5"/>
      <c r="W521" s="5"/>
      <c r="X521" s="5"/>
      <c r="Y521" s="5"/>
    </row>
    <row r="522" spans="2:25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P522" s="5"/>
      <c r="Q522" s="5"/>
      <c r="T522" s="5"/>
      <c r="U522" s="5"/>
      <c r="V522" s="5"/>
      <c r="W522" s="5"/>
      <c r="X522" s="5"/>
      <c r="Y522" s="5"/>
    </row>
    <row r="523" spans="2:25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P523" s="5"/>
      <c r="Q523" s="5"/>
      <c r="T523" s="5"/>
      <c r="U523" s="5"/>
      <c r="V523" s="5"/>
      <c r="W523" s="5"/>
      <c r="X523" s="5"/>
      <c r="Y523" s="5"/>
    </row>
    <row r="524" spans="2:25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P524" s="5"/>
      <c r="Q524" s="5"/>
      <c r="T524" s="5"/>
      <c r="U524" s="5"/>
      <c r="V524" s="5"/>
      <c r="W524" s="5"/>
      <c r="X524" s="5"/>
      <c r="Y524" s="5"/>
    </row>
    <row r="525" spans="2:25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P525" s="5"/>
      <c r="Q525" s="5"/>
      <c r="T525" s="5"/>
      <c r="U525" s="5"/>
      <c r="V525" s="5"/>
      <c r="W525" s="5"/>
      <c r="X525" s="5"/>
      <c r="Y525" s="5"/>
    </row>
    <row r="526" spans="2:25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P526" s="5"/>
      <c r="Q526" s="5"/>
      <c r="T526" s="5"/>
      <c r="U526" s="5"/>
      <c r="V526" s="5"/>
      <c r="W526" s="5"/>
      <c r="X526" s="5"/>
      <c r="Y526" s="5"/>
    </row>
    <row r="527" spans="2:25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P527" s="5"/>
      <c r="Q527" s="5"/>
      <c r="T527" s="5"/>
      <c r="U527" s="5"/>
      <c r="V527" s="5"/>
      <c r="W527" s="5"/>
      <c r="X527" s="5"/>
      <c r="Y527" s="5"/>
    </row>
    <row r="528" spans="2:25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P528" s="5"/>
      <c r="Q528" s="5"/>
      <c r="T528" s="5"/>
      <c r="U528" s="5"/>
      <c r="V528" s="5"/>
      <c r="W528" s="5"/>
      <c r="X528" s="5"/>
      <c r="Y528" s="5"/>
    </row>
    <row r="529" spans="2:25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P529" s="5"/>
      <c r="Q529" s="5"/>
      <c r="T529" s="5"/>
      <c r="U529" s="5"/>
      <c r="V529" s="5"/>
      <c r="W529" s="5"/>
      <c r="X529" s="5"/>
      <c r="Y529" s="5"/>
    </row>
    <row r="530" spans="2:25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P530" s="5"/>
      <c r="Q530" s="5"/>
      <c r="T530" s="5"/>
      <c r="U530" s="5"/>
      <c r="V530" s="5"/>
      <c r="W530" s="5"/>
      <c r="X530" s="5"/>
      <c r="Y530" s="5"/>
    </row>
    <row r="531" spans="2:25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P531" s="5"/>
      <c r="Q531" s="5"/>
      <c r="T531" s="5"/>
      <c r="U531" s="5"/>
      <c r="V531" s="5"/>
      <c r="W531" s="5"/>
      <c r="X531" s="5"/>
      <c r="Y531" s="5"/>
    </row>
    <row r="532" spans="2:25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P532" s="5"/>
      <c r="Q532" s="5"/>
      <c r="T532" s="5"/>
      <c r="U532" s="5"/>
      <c r="V532" s="5"/>
      <c r="W532" s="5"/>
      <c r="X532" s="5"/>
      <c r="Y532" s="5"/>
    </row>
    <row r="533" spans="2:25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P533" s="5"/>
      <c r="Q533" s="5"/>
      <c r="T533" s="5"/>
      <c r="U533" s="5"/>
      <c r="V533" s="5"/>
      <c r="W533" s="5"/>
      <c r="X533" s="5"/>
      <c r="Y533" s="5"/>
    </row>
    <row r="534" spans="2:25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P534" s="5"/>
      <c r="Q534" s="5"/>
      <c r="T534" s="5"/>
      <c r="U534" s="5"/>
      <c r="V534" s="5"/>
      <c r="W534" s="5"/>
      <c r="X534" s="5"/>
      <c r="Y534" s="5"/>
    </row>
    <row r="535" spans="2:25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P535" s="5"/>
      <c r="Q535" s="5"/>
      <c r="T535" s="5"/>
      <c r="U535" s="5"/>
      <c r="V535" s="5"/>
      <c r="W535" s="5"/>
      <c r="X535" s="5"/>
      <c r="Y535" s="5"/>
    </row>
    <row r="536" spans="2:25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P536" s="5"/>
      <c r="Q536" s="5"/>
      <c r="T536" s="5"/>
      <c r="U536" s="5"/>
      <c r="V536" s="5"/>
      <c r="W536" s="5"/>
      <c r="X536" s="5"/>
      <c r="Y536" s="5"/>
    </row>
    <row r="537" spans="2:25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P537" s="5"/>
      <c r="Q537" s="5"/>
      <c r="T537" s="5"/>
      <c r="U537" s="5"/>
      <c r="V537" s="5"/>
      <c r="W537" s="5"/>
      <c r="X537" s="5"/>
      <c r="Y537" s="5"/>
    </row>
    <row r="538" spans="2:25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P538" s="5"/>
      <c r="Q538" s="5"/>
      <c r="T538" s="5"/>
      <c r="U538" s="5"/>
      <c r="V538" s="5"/>
      <c r="W538" s="5"/>
      <c r="X538" s="5"/>
      <c r="Y538" s="5"/>
    </row>
    <row r="539" spans="2:25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P539" s="5"/>
      <c r="Q539" s="5"/>
      <c r="T539" s="5"/>
      <c r="U539" s="5"/>
      <c r="V539" s="5"/>
      <c r="W539" s="5"/>
      <c r="X539" s="5"/>
      <c r="Y539" s="5"/>
    </row>
    <row r="540" spans="2:25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P540" s="5"/>
      <c r="Q540" s="5"/>
      <c r="T540" s="5"/>
      <c r="U540" s="5"/>
      <c r="V540" s="5"/>
      <c r="W540" s="5"/>
      <c r="X540" s="5"/>
      <c r="Y540" s="5"/>
    </row>
    <row r="541" spans="2:25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P541" s="5"/>
      <c r="Q541" s="5"/>
      <c r="T541" s="5"/>
      <c r="U541" s="5"/>
      <c r="V541" s="5"/>
      <c r="W541" s="5"/>
      <c r="X541" s="5"/>
      <c r="Y541" s="5"/>
    </row>
    <row r="542" spans="2:25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P542" s="5"/>
      <c r="Q542" s="5"/>
      <c r="T542" s="5"/>
      <c r="U542" s="5"/>
      <c r="V542" s="5"/>
      <c r="W542" s="5"/>
      <c r="X542" s="5"/>
      <c r="Y542" s="5"/>
    </row>
    <row r="543" spans="2:25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P543" s="5"/>
      <c r="Q543" s="5"/>
      <c r="T543" s="5"/>
      <c r="U543" s="5"/>
      <c r="V543" s="5"/>
      <c r="W543" s="5"/>
      <c r="X543" s="5"/>
      <c r="Y543" s="5"/>
    </row>
    <row r="544" spans="2:25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P544" s="5"/>
      <c r="Q544" s="5"/>
      <c r="T544" s="5"/>
      <c r="U544" s="5"/>
      <c r="V544" s="5"/>
      <c r="W544" s="5"/>
      <c r="X544" s="5"/>
      <c r="Y544" s="5"/>
    </row>
    <row r="545" spans="2:25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P545" s="5"/>
      <c r="Q545" s="5"/>
      <c r="T545" s="5"/>
      <c r="U545" s="5"/>
      <c r="V545" s="5"/>
      <c r="W545" s="5"/>
      <c r="X545" s="5"/>
      <c r="Y545" s="5"/>
    </row>
    <row r="546" spans="2:25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P546" s="5"/>
      <c r="Q546" s="5"/>
      <c r="T546" s="5"/>
      <c r="U546" s="5"/>
      <c r="V546" s="5"/>
      <c r="W546" s="5"/>
      <c r="X546" s="5"/>
      <c r="Y546" s="5"/>
    </row>
    <row r="547" spans="2:25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P547" s="5"/>
      <c r="Q547" s="5"/>
      <c r="T547" s="5"/>
      <c r="U547" s="5"/>
      <c r="V547" s="5"/>
      <c r="W547" s="5"/>
      <c r="X547" s="5"/>
      <c r="Y547" s="5"/>
    </row>
    <row r="548" spans="2:25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P548" s="5"/>
      <c r="Q548" s="5"/>
      <c r="T548" s="5"/>
      <c r="U548" s="5"/>
      <c r="V548" s="5"/>
      <c r="W548" s="5"/>
      <c r="X548" s="5"/>
      <c r="Y548" s="5"/>
    </row>
    <row r="549" spans="2:25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P549" s="5"/>
      <c r="Q549" s="5"/>
      <c r="T549" s="5"/>
      <c r="U549" s="5"/>
      <c r="V549" s="5"/>
      <c r="W549" s="5"/>
      <c r="X549" s="5"/>
      <c r="Y549" s="5"/>
    </row>
    <row r="550" spans="2:25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P550" s="5"/>
      <c r="Q550" s="5"/>
      <c r="T550" s="5"/>
      <c r="U550" s="5"/>
      <c r="V550" s="5"/>
      <c r="W550" s="5"/>
      <c r="X550" s="5"/>
      <c r="Y550" s="5"/>
    </row>
    <row r="551" spans="2:25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P551" s="5"/>
      <c r="Q551" s="5"/>
      <c r="T551" s="5"/>
      <c r="U551" s="5"/>
      <c r="V551" s="5"/>
      <c r="W551" s="5"/>
      <c r="X551" s="5"/>
      <c r="Y551" s="5"/>
    </row>
    <row r="552" spans="2:25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P552" s="5"/>
      <c r="Q552" s="5"/>
      <c r="T552" s="5"/>
      <c r="U552" s="5"/>
      <c r="V552" s="5"/>
      <c r="W552" s="5"/>
      <c r="X552" s="5"/>
      <c r="Y552" s="5"/>
    </row>
    <row r="553" spans="2:25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P553" s="5"/>
      <c r="Q553" s="5"/>
      <c r="T553" s="5"/>
      <c r="U553" s="5"/>
      <c r="V553" s="5"/>
      <c r="W553" s="5"/>
      <c r="X553" s="5"/>
      <c r="Y553" s="5"/>
    </row>
    <row r="554" spans="2:25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P554" s="5"/>
      <c r="Q554" s="5"/>
      <c r="T554" s="5"/>
      <c r="U554" s="5"/>
      <c r="V554" s="5"/>
      <c r="W554" s="5"/>
      <c r="X554" s="5"/>
      <c r="Y554" s="5"/>
    </row>
    <row r="555" spans="2:25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P555" s="5"/>
      <c r="Q555" s="5"/>
      <c r="T555" s="5"/>
      <c r="U555" s="5"/>
      <c r="V555" s="5"/>
      <c r="W555" s="5"/>
      <c r="X555" s="5"/>
      <c r="Y555" s="5"/>
    </row>
    <row r="556" spans="2:25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P556" s="5"/>
      <c r="Q556" s="5"/>
      <c r="T556" s="5"/>
      <c r="U556" s="5"/>
      <c r="V556" s="5"/>
      <c r="W556" s="5"/>
      <c r="X556" s="5"/>
      <c r="Y556" s="5"/>
    </row>
    <row r="557" spans="2:25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P557" s="5"/>
      <c r="Q557" s="5"/>
      <c r="T557" s="5"/>
      <c r="U557" s="5"/>
      <c r="V557" s="5"/>
      <c r="W557" s="5"/>
      <c r="X557" s="5"/>
      <c r="Y557" s="5"/>
    </row>
    <row r="558" spans="2:25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P558" s="5"/>
      <c r="Q558" s="5"/>
      <c r="T558" s="5"/>
      <c r="U558" s="5"/>
      <c r="V558" s="5"/>
      <c r="W558" s="5"/>
      <c r="X558" s="5"/>
      <c r="Y558" s="5"/>
    </row>
    <row r="559" spans="2:25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P559" s="5"/>
      <c r="Q559" s="5"/>
      <c r="T559" s="5"/>
      <c r="U559" s="5"/>
      <c r="V559" s="5"/>
      <c r="W559" s="5"/>
      <c r="X559" s="5"/>
      <c r="Y559" s="5"/>
    </row>
    <row r="560" spans="2:25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P560" s="5"/>
      <c r="Q560" s="5"/>
      <c r="T560" s="5"/>
      <c r="U560" s="5"/>
      <c r="V560" s="5"/>
      <c r="W560" s="5"/>
      <c r="X560" s="5"/>
      <c r="Y560" s="5"/>
    </row>
    <row r="561" spans="2:25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P561" s="5"/>
      <c r="Q561" s="5"/>
      <c r="T561" s="5"/>
      <c r="U561" s="5"/>
      <c r="V561" s="5"/>
      <c r="W561" s="5"/>
      <c r="X561" s="5"/>
      <c r="Y561" s="5"/>
    </row>
    <row r="562" spans="2:25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P562" s="5"/>
      <c r="Q562" s="5"/>
      <c r="T562" s="5"/>
      <c r="U562" s="5"/>
      <c r="V562" s="5"/>
      <c r="W562" s="5"/>
      <c r="X562" s="5"/>
      <c r="Y562" s="5"/>
    </row>
    <row r="563" spans="2:25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P563" s="5"/>
      <c r="Q563" s="5"/>
      <c r="T563" s="5"/>
      <c r="U563" s="5"/>
      <c r="V563" s="5"/>
      <c r="W563" s="5"/>
      <c r="X563" s="5"/>
      <c r="Y563" s="5"/>
    </row>
    <row r="564" spans="2:25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P564" s="5"/>
      <c r="Q564" s="5"/>
      <c r="T564" s="5"/>
      <c r="U564" s="5"/>
      <c r="V564" s="5"/>
      <c r="W564" s="5"/>
      <c r="X564" s="5"/>
      <c r="Y564" s="5"/>
    </row>
    <row r="565" spans="2:25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P565" s="5"/>
      <c r="Q565" s="5"/>
      <c r="T565" s="5"/>
      <c r="U565" s="5"/>
      <c r="V565" s="5"/>
      <c r="W565" s="5"/>
      <c r="X565" s="5"/>
      <c r="Y565" s="5"/>
    </row>
    <row r="566" spans="2:25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P566" s="5"/>
      <c r="Q566" s="5"/>
      <c r="T566" s="5"/>
      <c r="U566" s="5"/>
      <c r="V566" s="5"/>
      <c r="W566" s="5"/>
      <c r="X566" s="5"/>
      <c r="Y566" s="5"/>
    </row>
    <row r="567" spans="2:25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P567" s="5"/>
      <c r="Q567" s="5"/>
      <c r="T567" s="5"/>
      <c r="U567" s="5"/>
      <c r="V567" s="5"/>
      <c r="W567" s="5"/>
      <c r="X567" s="5"/>
      <c r="Y567" s="5"/>
    </row>
    <row r="568" spans="2:25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P568" s="5"/>
      <c r="Q568" s="5"/>
      <c r="T568" s="5"/>
      <c r="U568" s="5"/>
      <c r="V568" s="5"/>
      <c r="W568" s="5"/>
      <c r="X568" s="5"/>
      <c r="Y568" s="5"/>
    </row>
    <row r="569" spans="2:25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P569" s="5"/>
      <c r="Q569" s="5"/>
      <c r="T569" s="5"/>
      <c r="U569" s="5"/>
      <c r="V569" s="5"/>
      <c r="W569" s="5"/>
      <c r="X569" s="5"/>
      <c r="Y569" s="5"/>
    </row>
    <row r="570" spans="2:25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P570" s="5"/>
      <c r="Q570" s="5"/>
      <c r="T570" s="5"/>
      <c r="U570" s="5"/>
      <c r="V570" s="5"/>
      <c r="W570" s="5"/>
      <c r="X570" s="5"/>
      <c r="Y570" s="5"/>
    </row>
    <row r="571" spans="2:25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P571" s="5"/>
      <c r="Q571" s="5"/>
      <c r="T571" s="5"/>
      <c r="U571" s="5"/>
      <c r="V571" s="5"/>
      <c r="W571" s="5"/>
      <c r="X571" s="5"/>
      <c r="Y571" s="5"/>
    </row>
    <row r="572" spans="2:25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P572" s="5"/>
      <c r="Q572" s="5"/>
      <c r="T572" s="5"/>
      <c r="U572" s="5"/>
      <c r="V572" s="5"/>
      <c r="W572" s="5"/>
      <c r="X572" s="5"/>
      <c r="Y572" s="5"/>
    </row>
    <row r="573" spans="2:25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P573" s="5"/>
      <c r="Q573" s="5"/>
      <c r="T573" s="5"/>
      <c r="U573" s="5"/>
      <c r="V573" s="5"/>
      <c r="W573" s="5"/>
      <c r="X573" s="5"/>
      <c r="Y573" s="5"/>
    </row>
    <row r="574" spans="2:25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P574" s="5"/>
      <c r="Q574" s="5"/>
      <c r="T574" s="5"/>
      <c r="U574" s="5"/>
      <c r="V574" s="5"/>
      <c r="W574" s="5"/>
      <c r="X574" s="5"/>
      <c r="Y574" s="5"/>
    </row>
    <row r="575" spans="2:25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P575" s="5"/>
      <c r="Q575" s="5"/>
      <c r="T575" s="5"/>
      <c r="U575" s="5"/>
      <c r="V575" s="5"/>
      <c r="W575" s="5"/>
      <c r="X575" s="5"/>
      <c r="Y575" s="5"/>
    </row>
    <row r="576" spans="2:25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P576" s="5"/>
      <c r="Q576" s="5"/>
      <c r="T576" s="5"/>
      <c r="U576" s="5"/>
      <c r="V576" s="5"/>
      <c r="W576" s="5"/>
      <c r="X576" s="5"/>
      <c r="Y576" s="5"/>
    </row>
    <row r="577" spans="2:25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P577" s="5"/>
      <c r="Q577" s="5"/>
      <c r="T577" s="5"/>
      <c r="U577" s="5"/>
      <c r="V577" s="5"/>
      <c r="W577" s="5"/>
      <c r="X577" s="5"/>
      <c r="Y577" s="5"/>
    </row>
    <row r="578" spans="2:25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P578" s="5"/>
      <c r="Q578" s="5"/>
      <c r="T578" s="5"/>
      <c r="U578" s="5"/>
      <c r="V578" s="5"/>
      <c r="W578" s="5"/>
      <c r="X578" s="5"/>
      <c r="Y578" s="5"/>
    </row>
    <row r="579" spans="2:25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P579" s="5"/>
      <c r="Q579" s="5"/>
      <c r="T579" s="5"/>
      <c r="U579" s="5"/>
      <c r="V579" s="5"/>
      <c r="W579" s="5"/>
      <c r="X579" s="5"/>
      <c r="Y579" s="5"/>
    </row>
    <row r="580" spans="2:25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P580" s="5"/>
      <c r="Q580" s="5"/>
      <c r="T580" s="5"/>
      <c r="U580" s="5"/>
      <c r="V580" s="5"/>
      <c r="W580" s="5"/>
      <c r="X580" s="5"/>
      <c r="Y580" s="5"/>
    </row>
    <row r="581" spans="2:25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P581" s="5"/>
      <c r="Q581" s="5"/>
      <c r="T581" s="5"/>
      <c r="U581" s="5"/>
      <c r="V581" s="5"/>
      <c r="W581" s="5"/>
      <c r="X581" s="5"/>
      <c r="Y581" s="5"/>
    </row>
    <row r="582" spans="2:25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P582" s="5"/>
      <c r="Q582" s="5"/>
      <c r="T582" s="5"/>
      <c r="U582" s="5"/>
      <c r="V582" s="5"/>
      <c r="W582" s="5"/>
      <c r="X582" s="5"/>
      <c r="Y582" s="5"/>
    </row>
    <row r="583" spans="2:25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P583" s="5"/>
      <c r="Q583" s="5"/>
      <c r="T583" s="5"/>
      <c r="U583" s="5"/>
      <c r="V583" s="5"/>
      <c r="W583" s="5"/>
      <c r="X583" s="5"/>
      <c r="Y583" s="5"/>
    </row>
    <row r="584" spans="2:25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P584" s="5"/>
      <c r="Q584" s="5"/>
      <c r="T584" s="5"/>
      <c r="U584" s="5"/>
      <c r="V584" s="5"/>
      <c r="W584" s="5"/>
      <c r="X584" s="5"/>
      <c r="Y584" s="5"/>
    </row>
    <row r="585" spans="2:25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P585" s="5"/>
      <c r="Q585" s="5"/>
      <c r="T585" s="5"/>
      <c r="U585" s="5"/>
      <c r="V585" s="5"/>
      <c r="W585" s="5"/>
      <c r="X585" s="5"/>
      <c r="Y585" s="5"/>
    </row>
    <row r="586" spans="2:25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P586" s="5"/>
      <c r="Q586" s="5"/>
      <c r="T586" s="5"/>
      <c r="U586" s="5"/>
      <c r="V586" s="5"/>
      <c r="W586" s="5"/>
      <c r="X586" s="5"/>
      <c r="Y586" s="5"/>
    </row>
    <row r="587" spans="2:25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P587" s="5"/>
      <c r="Q587" s="5"/>
      <c r="T587" s="5"/>
      <c r="U587" s="5"/>
      <c r="V587" s="5"/>
      <c r="W587" s="5"/>
      <c r="X587" s="5"/>
      <c r="Y587" s="5"/>
    </row>
    <row r="588" spans="2:25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P588" s="5"/>
      <c r="Q588" s="5"/>
      <c r="T588" s="5"/>
      <c r="U588" s="5"/>
      <c r="V588" s="5"/>
      <c r="W588" s="5"/>
      <c r="X588" s="5"/>
      <c r="Y588" s="5"/>
    </row>
    <row r="589" spans="2:25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P589" s="5"/>
      <c r="Q589" s="5"/>
      <c r="T589" s="5"/>
      <c r="U589" s="5"/>
      <c r="V589" s="5"/>
      <c r="W589" s="5"/>
      <c r="X589" s="5"/>
      <c r="Y589" s="5"/>
    </row>
    <row r="590" spans="2:25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P590" s="5"/>
      <c r="Q590" s="5"/>
      <c r="T590" s="5"/>
      <c r="U590" s="5"/>
      <c r="V590" s="5"/>
      <c r="W590" s="5"/>
      <c r="X590" s="5"/>
      <c r="Y590" s="5"/>
    </row>
    <row r="591" spans="2:25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P591" s="5"/>
      <c r="Q591" s="5"/>
      <c r="T591" s="5"/>
      <c r="U591" s="5"/>
      <c r="V591" s="5"/>
      <c r="W591" s="5"/>
      <c r="X591" s="5"/>
      <c r="Y591" s="5"/>
    </row>
    <row r="592" spans="2:25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P592" s="5"/>
      <c r="Q592" s="5"/>
      <c r="T592" s="5"/>
      <c r="U592" s="5"/>
      <c r="V592" s="5"/>
      <c r="W592" s="5"/>
      <c r="X592" s="5"/>
      <c r="Y592" s="5"/>
    </row>
    <row r="593" spans="2:25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P593" s="5"/>
      <c r="Q593" s="5"/>
      <c r="T593" s="5"/>
      <c r="U593" s="5"/>
      <c r="V593" s="5"/>
      <c r="W593" s="5"/>
      <c r="X593" s="5"/>
      <c r="Y593" s="5"/>
    </row>
    <row r="594" spans="2:25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P594" s="5"/>
      <c r="Q594" s="5"/>
      <c r="T594" s="5"/>
      <c r="U594" s="5"/>
      <c r="V594" s="5"/>
      <c r="W594" s="5"/>
      <c r="X594" s="5"/>
      <c r="Y594" s="5"/>
    </row>
    <row r="595" spans="2:25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P595" s="5"/>
      <c r="Q595" s="5"/>
      <c r="T595" s="5"/>
      <c r="U595" s="5"/>
      <c r="V595" s="5"/>
      <c r="W595" s="5"/>
      <c r="X595" s="5"/>
      <c r="Y595" s="5"/>
    </row>
    <row r="596" spans="2:25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P596" s="5"/>
      <c r="Q596" s="5"/>
      <c r="T596" s="5"/>
      <c r="U596" s="5"/>
      <c r="V596" s="5"/>
      <c r="W596" s="5"/>
      <c r="X596" s="5"/>
      <c r="Y596" s="5"/>
    </row>
    <row r="597" spans="2:25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P597" s="5"/>
      <c r="Q597" s="5"/>
      <c r="T597" s="5"/>
      <c r="U597" s="5"/>
      <c r="V597" s="5"/>
      <c r="W597" s="5"/>
      <c r="X597" s="5"/>
      <c r="Y597" s="5"/>
    </row>
    <row r="598" spans="2:25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P598" s="5"/>
      <c r="Q598" s="5"/>
      <c r="T598" s="5"/>
      <c r="U598" s="5"/>
      <c r="V598" s="5"/>
      <c r="W598" s="5"/>
      <c r="X598" s="5"/>
      <c r="Y598" s="5"/>
    </row>
    <row r="599" spans="2:25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P599" s="5"/>
      <c r="Q599" s="5"/>
      <c r="T599" s="5"/>
      <c r="U599" s="5"/>
      <c r="V599" s="5"/>
      <c r="W599" s="5"/>
      <c r="X599" s="5"/>
      <c r="Y599" s="5"/>
    </row>
    <row r="600" spans="2:25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P600" s="5"/>
      <c r="Q600" s="5"/>
      <c r="T600" s="5"/>
      <c r="U600" s="5"/>
      <c r="V600" s="5"/>
      <c r="W600" s="5"/>
      <c r="X600" s="5"/>
      <c r="Y600" s="5"/>
    </row>
    <row r="601" spans="2:25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P601" s="5"/>
      <c r="Q601" s="5"/>
      <c r="T601" s="5"/>
      <c r="U601" s="5"/>
      <c r="V601" s="5"/>
      <c r="W601" s="5"/>
      <c r="X601" s="5"/>
      <c r="Y601" s="5"/>
    </row>
    <row r="602" spans="2:25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P602" s="5"/>
      <c r="Q602" s="5"/>
      <c r="T602" s="5"/>
      <c r="U602" s="5"/>
      <c r="V602" s="5"/>
      <c r="W602" s="5"/>
      <c r="X602" s="5"/>
      <c r="Y602" s="5"/>
    </row>
    <row r="603" spans="2:25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P603" s="5"/>
      <c r="Q603" s="5"/>
      <c r="T603" s="5"/>
      <c r="U603" s="5"/>
      <c r="V603" s="5"/>
      <c r="W603" s="5"/>
      <c r="X603" s="5"/>
      <c r="Y603" s="5"/>
    </row>
    <row r="604" spans="2:25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P604" s="5"/>
      <c r="Q604" s="5"/>
      <c r="T604" s="5"/>
      <c r="U604" s="5"/>
      <c r="V604" s="5"/>
      <c r="W604" s="5"/>
      <c r="X604" s="5"/>
      <c r="Y604" s="5"/>
    </row>
    <row r="605" spans="2:25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P605" s="5"/>
      <c r="Q605" s="5"/>
      <c r="T605" s="5"/>
      <c r="U605" s="5"/>
      <c r="V605" s="5"/>
      <c r="W605" s="5"/>
      <c r="X605" s="5"/>
      <c r="Y605" s="5"/>
    </row>
    <row r="606" spans="2:25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P606" s="5"/>
      <c r="Q606" s="5"/>
      <c r="T606" s="5"/>
      <c r="U606" s="5"/>
      <c r="V606" s="5"/>
      <c r="W606" s="5"/>
      <c r="X606" s="5"/>
      <c r="Y606" s="5"/>
    </row>
    <row r="607" spans="2:25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P607" s="5"/>
      <c r="Q607" s="5"/>
      <c r="T607" s="5"/>
      <c r="U607" s="5"/>
      <c r="V607" s="5"/>
      <c r="W607" s="5"/>
      <c r="X607" s="5"/>
      <c r="Y607" s="5"/>
    </row>
    <row r="608" spans="2:25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P608" s="5"/>
      <c r="Q608" s="5"/>
      <c r="T608" s="5"/>
      <c r="U608" s="5"/>
      <c r="V608" s="5"/>
      <c r="W608" s="5"/>
      <c r="X608" s="5"/>
      <c r="Y608" s="5"/>
    </row>
    <row r="609" spans="2:25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P609" s="5"/>
      <c r="Q609" s="5"/>
      <c r="T609" s="5"/>
      <c r="U609" s="5"/>
      <c r="V609" s="5"/>
      <c r="W609" s="5"/>
      <c r="X609" s="5"/>
      <c r="Y609" s="5"/>
    </row>
    <row r="610" spans="2:25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P610" s="5"/>
      <c r="Q610" s="5"/>
      <c r="T610" s="5"/>
      <c r="U610" s="5"/>
      <c r="V610" s="5"/>
      <c r="W610" s="5"/>
      <c r="X610" s="5"/>
      <c r="Y610" s="5"/>
    </row>
    <row r="611" spans="2:25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P611" s="5"/>
      <c r="Q611" s="5"/>
      <c r="T611" s="5"/>
      <c r="U611" s="5"/>
      <c r="V611" s="5"/>
      <c r="W611" s="5"/>
      <c r="X611" s="5"/>
      <c r="Y611" s="5"/>
    </row>
    <row r="612" spans="2:25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P612" s="5"/>
      <c r="Q612" s="5"/>
      <c r="T612" s="5"/>
      <c r="U612" s="5"/>
      <c r="V612" s="5"/>
      <c r="W612" s="5"/>
      <c r="X612" s="5"/>
      <c r="Y612" s="5"/>
    </row>
    <row r="613" spans="2:25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P613" s="5"/>
      <c r="Q613" s="5"/>
      <c r="T613" s="5"/>
      <c r="U613" s="5"/>
      <c r="V613" s="5"/>
      <c r="W613" s="5"/>
      <c r="X613" s="5"/>
      <c r="Y613" s="5"/>
    </row>
    <row r="614" spans="2:25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P614" s="5"/>
      <c r="Q614" s="5"/>
      <c r="T614" s="5"/>
      <c r="U614" s="5"/>
      <c r="V614" s="5"/>
      <c r="W614" s="5"/>
      <c r="X614" s="5"/>
      <c r="Y614" s="5"/>
    </row>
    <row r="615" spans="2:25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P615" s="5"/>
      <c r="Q615" s="5"/>
      <c r="T615" s="5"/>
      <c r="U615" s="5"/>
      <c r="V615" s="5"/>
      <c r="W615" s="5"/>
      <c r="X615" s="5"/>
      <c r="Y615" s="5"/>
    </row>
    <row r="616" spans="2:25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P616" s="5"/>
      <c r="Q616" s="5"/>
      <c r="T616" s="5"/>
      <c r="U616" s="5"/>
      <c r="V616" s="5"/>
      <c r="W616" s="5"/>
      <c r="X616" s="5"/>
      <c r="Y616" s="5"/>
    </row>
    <row r="617" spans="2:25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P617" s="5"/>
      <c r="Q617" s="5"/>
      <c r="T617" s="5"/>
      <c r="U617" s="5"/>
      <c r="V617" s="5"/>
      <c r="W617" s="5"/>
      <c r="X617" s="5"/>
      <c r="Y617" s="5"/>
    </row>
    <row r="618" spans="2:25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P618" s="5"/>
      <c r="Q618" s="5"/>
      <c r="T618" s="5"/>
      <c r="U618" s="5"/>
      <c r="V618" s="5"/>
      <c r="W618" s="5"/>
      <c r="X618" s="5"/>
      <c r="Y618" s="5"/>
    </row>
    <row r="619" spans="2:25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P619" s="5"/>
      <c r="Q619" s="5"/>
      <c r="T619" s="5"/>
      <c r="U619" s="5"/>
      <c r="V619" s="5"/>
      <c r="W619" s="5"/>
      <c r="X619" s="5"/>
      <c r="Y619" s="5"/>
    </row>
    <row r="620" spans="2:25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P620" s="5"/>
      <c r="Q620" s="5"/>
      <c r="T620" s="5"/>
      <c r="U620" s="5"/>
      <c r="V620" s="5"/>
      <c r="W620" s="5"/>
      <c r="X620" s="5"/>
      <c r="Y620" s="5"/>
    </row>
    <row r="621" spans="2:25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P621" s="5"/>
      <c r="Q621" s="5"/>
      <c r="T621" s="5"/>
      <c r="U621" s="5"/>
      <c r="V621" s="5"/>
      <c r="W621" s="5"/>
      <c r="X621" s="5"/>
      <c r="Y621" s="5"/>
    </row>
    <row r="622" spans="2:25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P622" s="5"/>
      <c r="Q622" s="5"/>
      <c r="T622" s="5"/>
      <c r="U622" s="5"/>
      <c r="V622" s="5"/>
      <c r="W622" s="5"/>
      <c r="X622" s="5"/>
      <c r="Y622" s="5"/>
    </row>
    <row r="623" spans="2:25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P623" s="5"/>
      <c r="Q623" s="5"/>
      <c r="T623" s="5"/>
      <c r="U623" s="5"/>
      <c r="V623" s="5"/>
      <c r="W623" s="5"/>
      <c r="X623" s="5"/>
      <c r="Y623" s="5"/>
    </row>
    <row r="624" spans="2:25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P624" s="5"/>
      <c r="Q624" s="5"/>
      <c r="T624" s="5"/>
      <c r="U624" s="5"/>
      <c r="V624" s="5"/>
      <c r="W624" s="5"/>
      <c r="X624" s="5"/>
      <c r="Y624" s="5"/>
    </row>
    <row r="625" spans="2:25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P625" s="5"/>
      <c r="Q625" s="5"/>
      <c r="T625" s="5"/>
      <c r="U625" s="5"/>
      <c r="V625" s="5"/>
      <c r="W625" s="5"/>
      <c r="X625" s="5"/>
      <c r="Y625" s="5"/>
    </row>
    <row r="626" spans="2:25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P626" s="5"/>
      <c r="Q626" s="5"/>
      <c r="T626" s="5"/>
      <c r="U626" s="5"/>
      <c r="V626" s="5"/>
      <c r="W626" s="5"/>
      <c r="X626" s="5"/>
      <c r="Y626" s="5"/>
    </row>
    <row r="627" spans="2:25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P627" s="5"/>
      <c r="Q627" s="5"/>
      <c r="T627" s="5"/>
      <c r="U627" s="5"/>
      <c r="V627" s="5"/>
      <c r="W627" s="5"/>
      <c r="X627" s="5"/>
      <c r="Y627" s="5"/>
    </row>
    <row r="628" spans="2:25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P628" s="5"/>
      <c r="Q628" s="5"/>
      <c r="T628" s="5"/>
      <c r="U628" s="5"/>
      <c r="V628" s="5"/>
      <c r="W628" s="5"/>
      <c r="X628" s="5"/>
      <c r="Y628" s="5"/>
    </row>
    <row r="629" spans="2:25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P629" s="5"/>
      <c r="Q629" s="5"/>
      <c r="T629" s="5"/>
      <c r="U629" s="5"/>
      <c r="V629" s="5"/>
      <c r="W629" s="5"/>
      <c r="X629" s="5"/>
      <c r="Y629" s="5"/>
    </row>
    <row r="630" spans="2:25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P630" s="5"/>
      <c r="Q630" s="5"/>
      <c r="T630" s="5"/>
      <c r="U630" s="5"/>
      <c r="V630" s="5"/>
      <c r="W630" s="5"/>
      <c r="X630" s="5"/>
      <c r="Y630" s="5"/>
    </row>
    <row r="631" spans="2:25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P631" s="5"/>
      <c r="Q631" s="5"/>
      <c r="T631" s="5"/>
      <c r="U631" s="5"/>
      <c r="V631" s="5"/>
      <c r="W631" s="5"/>
      <c r="X631" s="5"/>
      <c r="Y631" s="5"/>
    </row>
    <row r="632" spans="2:25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P632" s="5"/>
      <c r="Q632" s="5"/>
      <c r="T632" s="5"/>
      <c r="U632" s="5"/>
      <c r="V632" s="5"/>
      <c r="W632" s="5"/>
      <c r="X632" s="5"/>
      <c r="Y632" s="5"/>
    </row>
    <row r="633" spans="2:25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P633" s="5"/>
      <c r="Q633" s="5"/>
      <c r="T633" s="5"/>
      <c r="U633" s="5"/>
      <c r="V633" s="5"/>
      <c r="W633" s="5"/>
      <c r="X633" s="5"/>
      <c r="Y633" s="5"/>
    </row>
    <row r="634" spans="2:25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P634" s="5"/>
      <c r="Q634" s="5"/>
      <c r="T634" s="5"/>
      <c r="U634" s="5"/>
      <c r="V634" s="5"/>
      <c r="W634" s="5"/>
      <c r="X634" s="5"/>
      <c r="Y634" s="5"/>
    </row>
    <row r="635" spans="2:25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P635" s="5"/>
      <c r="Q635" s="5"/>
      <c r="T635" s="5"/>
      <c r="U635" s="5"/>
      <c r="V635" s="5"/>
      <c r="W635" s="5"/>
      <c r="X635" s="5"/>
      <c r="Y635" s="5"/>
    </row>
    <row r="636" spans="2:25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P636" s="5"/>
      <c r="Q636" s="5"/>
      <c r="T636" s="5"/>
      <c r="U636" s="5"/>
      <c r="V636" s="5"/>
      <c r="W636" s="5"/>
      <c r="X636" s="5"/>
      <c r="Y636" s="5"/>
    </row>
    <row r="637" spans="2:25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P637" s="5"/>
      <c r="Q637" s="5"/>
      <c r="T637" s="5"/>
      <c r="U637" s="5"/>
      <c r="V637" s="5"/>
      <c r="W637" s="5"/>
      <c r="X637" s="5"/>
      <c r="Y637" s="5"/>
    </row>
    <row r="638" spans="2:25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P638" s="5"/>
      <c r="Q638" s="5"/>
      <c r="T638" s="5"/>
      <c r="U638" s="5"/>
      <c r="V638" s="5"/>
      <c r="W638" s="5"/>
      <c r="X638" s="5"/>
      <c r="Y638" s="5"/>
    </row>
    <row r="639" spans="2:25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P639" s="5"/>
      <c r="Q639" s="5"/>
      <c r="T639" s="5"/>
      <c r="U639" s="5"/>
      <c r="V639" s="5"/>
      <c r="W639" s="5"/>
      <c r="X639" s="5"/>
      <c r="Y639" s="5"/>
    </row>
    <row r="640" spans="2:25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P640" s="5"/>
      <c r="Q640" s="5"/>
      <c r="T640" s="5"/>
      <c r="U640" s="5"/>
      <c r="V640" s="5"/>
      <c r="W640" s="5"/>
      <c r="X640" s="5"/>
      <c r="Y640" s="5"/>
    </row>
    <row r="641" spans="2:25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P641" s="5"/>
      <c r="Q641" s="5"/>
      <c r="T641" s="5"/>
      <c r="U641" s="5"/>
      <c r="V641" s="5"/>
      <c r="W641" s="5"/>
      <c r="X641" s="5"/>
      <c r="Y641" s="5"/>
    </row>
    <row r="642" spans="2:25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P642" s="5"/>
      <c r="Q642" s="5"/>
      <c r="T642" s="5"/>
      <c r="U642" s="5"/>
      <c r="V642" s="5"/>
      <c r="W642" s="5"/>
      <c r="X642" s="5"/>
      <c r="Y642" s="5"/>
    </row>
    <row r="643" spans="2:25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P643" s="5"/>
      <c r="Q643" s="5"/>
      <c r="T643" s="5"/>
      <c r="U643" s="5"/>
      <c r="V643" s="5"/>
      <c r="W643" s="5"/>
      <c r="X643" s="5"/>
      <c r="Y643" s="5"/>
    </row>
    <row r="644" spans="2:25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P644" s="5"/>
      <c r="Q644" s="5"/>
      <c r="T644" s="5"/>
      <c r="U644" s="5"/>
      <c r="V644" s="5"/>
      <c r="W644" s="5"/>
      <c r="X644" s="5"/>
      <c r="Y644" s="5"/>
    </row>
    <row r="645" spans="2:25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P645" s="5"/>
      <c r="Q645" s="5"/>
      <c r="T645" s="5"/>
      <c r="U645" s="5"/>
      <c r="V645" s="5"/>
      <c r="W645" s="5"/>
      <c r="X645" s="5"/>
      <c r="Y645" s="5"/>
    </row>
    <row r="646" spans="2:25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P646" s="5"/>
      <c r="Q646" s="5"/>
      <c r="T646" s="5"/>
      <c r="U646" s="5"/>
      <c r="V646" s="5"/>
      <c r="W646" s="5"/>
      <c r="X646" s="5"/>
      <c r="Y646" s="5"/>
    </row>
    <row r="647" spans="2:25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P647" s="5"/>
      <c r="Q647" s="5"/>
      <c r="T647" s="5"/>
      <c r="U647" s="5"/>
      <c r="V647" s="5"/>
      <c r="W647" s="5"/>
      <c r="X647" s="5"/>
      <c r="Y647" s="5"/>
    </row>
    <row r="648" spans="2:25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P648" s="5"/>
      <c r="Q648" s="5"/>
      <c r="T648" s="5"/>
      <c r="U648" s="5"/>
      <c r="V648" s="5"/>
      <c r="W648" s="5"/>
      <c r="X648" s="5"/>
      <c r="Y648" s="5"/>
    </row>
    <row r="649" spans="2:25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P649" s="5"/>
      <c r="Q649" s="5"/>
      <c r="T649" s="5"/>
      <c r="U649" s="5"/>
      <c r="V649" s="5"/>
      <c r="W649" s="5"/>
      <c r="X649" s="5"/>
      <c r="Y649" s="5"/>
    </row>
    <row r="650" spans="2:25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P650" s="5"/>
      <c r="Q650" s="5"/>
      <c r="T650" s="5"/>
      <c r="U650" s="5"/>
      <c r="V650" s="5"/>
      <c r="W650" s="5"/>
      <c r="X650" s="5"/>
      <c r="Y650" s="5"/>
    </row>
    <row r="651" spans="2:25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P651" s="5"/>
      <c r="Q651" s="5"/>
      <c r="T651" s="5"/>
      <c r="U651" s="5"/>
      <c r="V651" s="5"/>
      <c r="W651" s="5"/>
      <c r="X651" s="5"/>
      <c r="Y651" s="5"/>
    </row>
    <row r="652" spans="2:25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P652" s="5"/>
      <c r="Q652" s="5"/>
      <c r="T652" s="5"/>
      <c r="U652" s="5"/>
      <c r="V652" s="5"/>
      <c r="W652" s="5"/>
      <c r="X652" s="5"/>
      <c r="Y652" s="5"/>
    </row>
    <row r="653" spans="2:25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P653" s="5"/>
      <c r="Q653" s="5"/>
      <c r="T653" s="5"/>
      <c r="U653" s="5"/>
      <c r="V653" s="5"/>
      <c r="W653" s="5"/>
      <c r="X653" s="5"/>
      <c r="Y653" s="5"/>
    </row>
    <row r="654" spans="2:25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P654" s="5"/>
      <c r="Q654" s="5"/>
      <c r="T654" s="5"/>
      <c r="U654" s="5"/>
      <c r="V654" s="5"/>
      <c r="W654" s="5"/>
      <c r="X654" s="5"/>
      <c r="Y654" s="5"/>
    </row>
    <row r="655" spans="2:25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P655" s="5"/>
      <c r="Q655" s="5"/>
      <c r="T655" s="5"/>
      <c r="U655" s="5"/>
      <c r="V655" s="5"/>
      <c r="W655" s="5"/>
      <c r="X655" s="5"/>
      <c r="Y655" s="5"/>
    </row>
    <row r="656" spans="2:25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P656" s="5"/>
      <c r="Q656" s="5"/>
      <c r="T656" s="5"/>
      <c r="U656" s="5"/>
      <c r="V656" s="5"/>
      <c r="W656" s="5"/>
      <c r="X656" s="5"/>
      <c r="Y656" s="5"/>
    </row>
    <row r="657" spans="2:25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P657" s="5"/>
      <c r="Q657" s="5"/>
      <c r="T657" s="5"/>
      <c r="U657" s="5"/>
      <c r="V657" s="5"/>
      <c r="W657" s="5"/>
      <c r="X657" s="5"/>
      <c r="Y657" s="5"/>
    </row>
    <row r="658" spans="2:25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P658" s="5"/>
      <c r="Q658" s="5"/>
      <c r="T658" s="5"/>
      <c r="U658" s="5"/>
      <c r="V658" s="5"/>
      <c r="W658" s="5"/>
      <c r="X658" s="5"/>
      <c r="Y658" s="5"/>
    </row>
    <row r="659" spans="2:25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P659" s="5"/>
      <c r="Q659" s="5"/>
      <c r="T659" s="5"/>
      <c r="U659" s="5"/>
      <c r="V659" s="5"/>
      <c r="W659" s="5"/>
      <c r="X659" s="5"/>
      <c r="Y659" s="5"/>
    </row>
    <row r="660" spans="2:25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P660" s="5"/>
      <c r="Q660" s="5"/>
      <c r="T660" s="5"/>
      <c r="U660" s="5"/>
      <c r="V660" s="5"/>
      <c r="W660" s="5"/>
      <c r="X660" s="5"/>
      <c r="Y660" s="5"/>
    </row>
    <row r="661" spans="2:25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P661" s="5"/>
      <c r="Q661" s="5"/>
      <c r="T661" s="5"/>
      <c r="U661" s="5"/>
      <c r="V661" s="5"/>
      <c r="W661" s="5"/>
      <c r="X661" s="5"/>
      <c r="Y661" s="5"/>
    </row>
    <row r="662" spans="2:25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P662" s="5"/>
      <c r="Q662" s="5"/>
      <c r="T662" s="5"/>
      <c r="U662" s="5"/>
      <c r="V662" s="5"/>
      <c r="W662" s="5"/>
      <c r="X662" s="5"/>
      <c r="Y662" s="5"/>
    </row>
    <row r="663" spans="2:25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P663" s="5"/>
      <c r="Q663" s="5"/>
      <c r="T663" s="5"/>
      <c r="U663" s="5"/>
      <c r="V663" s="5"/>
      <c r="W663" s="5"/>
      <c r="X663" s="5"/>
      <c r="Y663" s="5"/>
    </row>
    <row r="664" spans="2:25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P664" s="5"/>
      <c r="Q664" s="5"/>
      <c r="T664" s="5"/>
      <c r="U664" s="5"/>
      <c r="V664" s="5"/>
      <c r="W664" s="5"/>
      <c r="X664" s="5"/>
      <c r="Y664" s="5"/>
    </row>
    <row r="665" spans="2:25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P665" s="5"/>
      <c r="Q665" s="5"/>
      <c r="T665" s="5"/>
      <c r="U665" s="5"/>
      <c r="V665" s="5"/>
      <c r="W665" s="5"/>
      <c r="X665" s="5"/>
      <c r="Y665" s="5"/>
    </row>
    <row r="666" spans="2:25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P666" s="5"/>
      <c r="Q666" s="5"/>
      <c r="T666" s="5"/>
      <c r="U666" s="5"/>
      <c r="V666" s="5"/>
      <c r="W666" s="5"/>
      <c r="X666" s="5"/>
      <c r="Y666" s="5"/>
    </row>
    <row r="667" spans="2:25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P667" s="5"/>
      <c r="Q667" s="5"/>
      <c r="T667" s="5"/>
      <c r="U667" s="5"/>
      <c r="V667" s="5"/>
      <c r="W667" s="5"/>
      <c r="X667" s="5"/>
      <c r="Y667" s="5"/>
    </row>
    <row r="668" spans="2:25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P668" s="5"/>
      <c r="Q668" s="5"/>
      <c r="T668" s="5"/>
      <c r="U668" s="5"/>
      <c r="V668" s="5"/>
      <c r="W668" s="5"/>
      <c r="X668" s="5"/>
      <c r="Y668" s="5"/>
    </row>
    <row r="669" spans="2:25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P669" s="5"/>
      <c r="Q669" s="5"/>
      <c r="T669" s="5"/>
      <c r="U669" s="5"/>
      <c r="V669" s="5"/>
      <c r="W669" s="5"/>
      <c r="X669" s="5"/>
      <c r="Y669" s="5"/>
    </row>
    <row r="670" spans="2:25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P670" s="5"/>
      <c r="Q670" s="5"/>
      <c r="T670" s="5"/>
      <c r="U670" s="5"/>
      <c r="V670" s="5"/>
      <c r="W670" s="5"/>
      <c r="X670" s="5"/>
      <c r="Y670" s="5"/>
    </row>
    <row r="671" spans="2:25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P671" s="5"/>
      <c r="Q671" s="5"/>
      <c r="T671" s="5"/>
      <c r="U671" s="5"/>
      <c r="V671" s="5"/>
      <c r="W671" s="5"/>
      <c r="X671" s="5"/>
      <c r="Y671" s="5"/>
    </row>
    <row r="672" spans="2:25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P672" s="5"/>
      <c r="Q672" s="5"/>
      <c r="T672" s="5"/>
      <c r="U672" s="5"/>
      <c r="V672" s="5"/>
      <c r="W672" s="5"/>
      <c r="X672" s="5"/>
      <c r="Y672" s="5"/>
    </row>
    <row r="673" spans="2:25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P673" s="5"/>
      <c r="Q673" s="5"/>
      <c r="T673" s="5"/>
      <c r="U673" s="5"/>
      <c r="V673" s="5"/>
      <c r="W673" s="5"/>
      <c r="X673" s="5"/>
      <c r="Y673" s="5"/>
    </row>
    <row r="674" spans="2:25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P674" s="5"/>
      <c r="Q674" s="5"/>
      <c r="T674" s="5"/>
      <c r="U674" s="5"/>
      <c r="V674" s="5"/>
      <c r="W674" s="5"/>
      <c r="X674" s="5"/>
      <c r="Y674" s="5"/>
    </row>
    <row r="675" spans="2:25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P675" s="5"/>
      <c r="Q675" s="5"/>
      <c r="T675" s="5"/>
      <c r="U675" s="5"/>
      <c r="V675" s="5"/>
      <c r="W675" s="5"/>
      <c r="X675" s="5"/>
      <c r="Y675" s="5"/>
    </row>
    <row r="676" spans="2:25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P676" s="5"/>
      <c r="Q676" s="5"/>
      <c r="T676" s="5"/>
      <c r="U676" s="5"/>
      <c r="V676" s="5"/>
      <c r="W676" s="5"/>
      <c r="X676" s="5"/>
      <c r="Y676" s="5"/>
    </row>
    <row r="677" spans="2:25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P677" s="5"/>
      <c r="Q677" s="5"/>
      <c r="T677" s="5"/>
      <c r="U677" s="5"/>
      <c r="V677" s="5"/>
      <c r="W677" s="5"/>
      <c r="X677" s="5"/>
      <c r="Y677" s="5"/>
    </row>
    <row r="678" spans="2:25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P678" s="5"/>
      <c r="Q678" s="5"/>
      <c r="T678" s="5"/>
      <c r="U678" s="5"/>
      <c r="V678" s="5"/>
      <c r="W678" s="5"/>
      <c r="X678" s="5"/>
      <c r="Y678" s="5"/>
    </row>
    <row r="679" spans="2:25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P679" s="5"/>
      <c r="Q679" s="5"/>
      <c r="T679" s="5"/>
      <c r="U679" s="5"/>
      <c r="V679" s="5"/>
      <c r="W679" s="5"/>
      <c r="X679" s="5"/>
      <c r="Y679" s="5"/>
    </row>
    <row r="680" spans="2:25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P680" s="5"/>
      <c r="Q680" s="5"/>
      <c r="T680" s="5"/>
      <c r="U680" s="5"/>
      <c r="V680" s="5"/>
      <c r="W680" s="5"/>
      <c r="X680" s="5"/>
      <c r="Y680" s="5"/>
    </row>
    <row r="681" spans="2:25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P681" s="5"/>
      <c r="Q681" s="5"/>
      <c r="T681" s="5"/>
      <c r="U681" s="5"/>
      <c r="V681" s="5"/>
      <c r="W681" s="5"/>
      <c r="X681" s="5"/>
      <c r="Y681" s="5"/>
    </row>
    <row r="682" spans="2:25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P682" s="5"/>
      <c r="Q682" s="5"/>
      <c r="T682" s="5"/>
      <c r="U682" s="5"/>
      <c r="V682" s="5"/>
      <c r="W682" s="5"/>
      <c r="X682" s="5"/>
      <c r="Y682" s="5"/>
    </row>
    <row r="683" spans="2:25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P683" s="5"/>
      <c r="Q683" s="5"/>
      <c r="T683" s="5"/>
      <c r="U683" s="5"/>
      <c r="V683" s="5"/>
      <c r="W683" s="5"/>
      <c r="X683" s="5"/>
      <c r="Y683" s="5"/>
    </row>
    <row r="684" spans="2:25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P684" s="5"/>
      <c r="Q684" s="5"/>
      <c r="T684" s="5"/>
      <c r="U684" s="5"/>
      <c r="V684" s="5"/>
      <c r="W684" s="5"/>
      <c r="X684" s="5"/>
      <c r="Y684" s="5"/>
    </row>
    <row r="685" spans="2:25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P685" s="5"/>
      <c r="Q685" s="5"/>
      <c r="T685" s="5"/>
      <c r="U685" s="5"/>
      <c r="V685" s="5"/>
      <c r="W685" s="5"/>
      <c r="X685" s="5"/>
      <c r="Y685" s="5"/>
    </row>
    <row r="686" spans="2:25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P686" s="5"/>
      <c r="Q686" s="5"/>
      <c r="T686" s="5"/>
      <c r="U686" s="5"/>
      <c r="V686" s="5"/>
      <c r="W686" s="5"/>
      <c r="X686" s="5"/>
      <c r="Y686" s="5"/>
    </row>
    <row r="687" spans="2:25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P687" s="5"/>
      <c r="Q687" s="5"/>
      <c r="T687" s="5"/>
      <c r="U687" s="5"/>
      <c r="V687" s="5"/>
      <c r="W687" s="5"/>
      <c r="X687" s="5"/>
      <c r="Y687" s="5"/>
    </row>
    <row r="688" spans="2:25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P688" s="5"/>
      <c r="Q688" s="5"/>
      <c r="T688" s="5"/>
      <c r="U688" s="5"/>
      <c r="V688" s="5"/>
      <c r="W688" s="5"/>
      <c r="X688" s="5"/>
      <c r="Y688" s="5"/>
    </row>
    <row r="689" spans="2:25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P689" s="5"/>
      <c r="Q689" s="5"/>
      <c r="T689" s="5"/>
      <c r="U689" s="5"/>
      <c r="V689" s="5"/>
      <c r="W689" s="5"/>
      <c r="X689" s="5"/>
      <c r="Y689" s="5"/>
    </row>
    <row r="690" spans="2:25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P690" s="5"/>
      <c r="Q690" s="5"/>
      <c r="T690" s="5"/>
      <c r="U690" s="5"/>
      <c r="V690" s="5"/>
      <c r="W690" s="5"/>
      <c r="X690" s="5"/>
      <c r="Y690" s="5"/>
    </row>
    <row r="691" spans="2:25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P691" s="5"/>
      <c r="Q691" s="5"/>
      <c r="T691" s="5"/>
      <c r="U691" s="5"/>
      <c r="V691" s="5"/>
      <c r="W691" s="5"/>
      <c r="X691" s="5"/>
      <c r="Y691" s="5"/>
    </row>
    <row r="692" spans="2:25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P692" s="5"/>
      <c r="Q692" s="5"/>
      <c r="T692" s="5"/>
      <c r="U692" s="5"/>
      <c r="V692" s="5"/>
      <c r="W692" s="5"/>
      <c r="X692" s="5"/>
      <c r="Y692" s="5"/>
    </row>
    <row r="693" spans="2:25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P693" s="5"/>
      <c r="Q693" s="5"/>
      <c r="T693" s="5"/>
      <c r="U693" s="5"/>
      <c r="V693" s="5"/>
      <c r="W693" s="5"/>
      <c r="X693" s="5"/>
      <c r="Y693" s="5"/>
    </row>
    <row r="694" spans="2:25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P694" s="5"/>
      <c r="Q694" s="5"/>
      <c r="T694" s="5"/>
      <c r="U694" s="5"/>
      <c r="V694" s="5"/>
      <c r="W694" s="5"/>
      <c r="X694" s="5"/>
      <c r="Y694" s="5"/>
    </row>
    <row r="695" spans="2:25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P695" s="5"/>
      <c r="Q695" s="5"/>
      <c r="T695" s="5"/>
      <c r="U695" s="5"/>
      <c r="V695" s="5"/>
      <c r="W695" s="5"/>
      <c r="X695" s="5"/>
      <c r="Y695" s="5"/>
    </row>
    <row r="696" spans="2:25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P696" s="5"/>
      <c r="Q696" s="5"/>
      <c r="T696" s="5"/>
      <c r="U696" s="5"/>
      <c r="V696" s="5"/>
      <c r="W696" s="5"/>
      <c r="X696" s="5"/>
      <c r="Y696" s="5"/>
    </row>
    <row r="697" spans="2:25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P697" s="5"/>
      <c r="Q697" s="5"/>
      <c r="T697" s="5"/>
      <c r="U697" s="5"/>
      <c r="V697" s="5"/>
      <c r="W697" s="5"/>
      <c r="X697" s="5"/>
      <c r="Y697" s="5"/>
    </row>
    <row r="698" spans="2:25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P698" s="5"/>
      <c r="Q698" s="5"/>
      <c r="T698" s="5"/>
      <c r="U698" s="5"/>
      <c r="V698" s="5"/>
      <c r="W698" s="5"/>
      <c r="X698" s="5"/>
      <c r="Y698" s="5"/>
    </row>
    <row r="699" spans="2:25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P699" s="5"/>
      <c r="Q699" s="5"/>
      <c r="T699" s="5"/>
      <c r="U699" s="5"/>
      <c r="V699" s="5"/>
      <c r="W699" s="5"/>
      <c r="X699" s="5"/>
      <c r="Y699" s="5"/>
    </row>
    <row r="700" spans="2:25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P700" s="5"/>
      <c r="Q700" s="5"/>
      <c r="T700" s="5"/>
      <c r="U700" s="5"/>
      <c r="V700" s="5"/>
      <c r="W700" s="5"/>
      <c r="X700" s="5"/>
      <c r="Y700" s="5"/>
    </row>
    <row r="701" spans="2:25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P701" s="5"/>
      <c r="Q701" s="5"/>
      <c r="T701" s="5"/>
      <c r="U701" s="5"/>
      <c r="V701" s="5"/>
      <c r="W701" s="5"/>
      <c r="X701" s="5"/>
      <c r="Y701" s="5"/>
    </row>
    <row r="702" spans="2:25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P702" s="5"/>
      <c r="Q702" s="5"/>
      <c r="T702" s="5"/>
      <c r="U702" s="5"/>
      <c r="V702" s="5"/>
      <c r="W702" s="5"/>
      <c r="X702" s="5"/>
      <c r="Y702" s="5"/>
    </row>
    <row r="703" spans="2:25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P703" s="5"/>
      <c r="Q703" s="5"/>
      <c r="T703" s="5"/>
      <c r="U703" s="5"/>
      <c r="V703" s="5"/>
      <c r="W703" s="5"/>
      <c r="X703" s="5"/>
      <c r="Y703" s="5"/>
    </row>
    <row r="704" spans="2:25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P704" s="5"/>
      <c r="Q704" s="5"/>
      <c r="T704" s="5"/>
      <c r="U704" s="5"/>
      <c r="V704" s="5"/>
      <c r="W704" s="5"/>
      <c r="X704" s="5"/>
      <c r="Y704" s="5"/>
    </row>
    <row r="705" spans="2:25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P705" s="5"/>
      <c r="Q705" s="5"/>
      <c r="T705" s="5"/>
      <c r="U705" s="5"/>
      <c r="V705" s="5"/>
      <c r="W705" s="5"/>
      <c r="X705" s="5"/>
      <c r="Y705" s="5"/>
    </row>
    <row r="706" spans="2:25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P706" s="5"/>
      <c r="Q706" s="5"/>
      <c r="T706" s="5"/>
      <c r="U706" s="5"/>
      <c r="V706" s="5"/>
      <c r="W706" s="5"/>
      <c r="X706" s="5"/>
      <c r="Y706" s="5"/>
    </row>
    <row r="707" spans="2:25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P707" s="5"/>
      <c r="Q707" s="5"/>
      <c r="T707" s="5"/>
      <c r="U707" s="5"/>
      <c r="V707" s="5"/>
      <c r="W707" s="5"/>
      <c r="X707" s="5"/>
      <c r="Y707" s="5"/>
    </row>
    <row r="708" spans="2:25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P708" s="5"/>
      <c r="Q708" s="5"/>
      <c r="T708" s="5"/>
      <c r="U708" s="5"/>
      <c r="V708" s="5"/>
      <c r="W708" s="5"/>
      <c r="X708" s="5"/>
      <c r="Y708" s="5"/>
    </row>
    <row r="709" spans="2:25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P709" s="5"/>
      <c r="Q709" s="5"/>
      <c r="T709" s="5"/>
      <c r="U709" s="5"/>
      <c r="V709" s="5"/>
      <c r="W709" s="5"/>
      <c r="X709" s="5"/>
      <c r="Y709" s="5"/>
    </row>
    <row r="710" spans="2:25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P710" s="5"/>
      <c r="Q710" s="5"/>
      <c r="T710" s="5"/>
      <c r="U710" s="5"/>
      <c r="V710" s="5"/>
      <c r="W710" s="5"/>
      <c r="X710" s="5"/>
      <c r="Y710" s="5"/>
    </row>
    <row r="711" spans="2:25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P711" s="5"/>
      <c r="Q711" s="5"/>
      <c r="T711" s="5"/>
      <c r="U711" s="5"/>
      <c r="V711" s="5"/>
      <c r="W711" s="5"/>
      <c r="X711" s="5"/>
      <c r="Y711" s="5"/>
    </row>
    <row r="712" spans="2:25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P712" s="5"/>
      <c r="Q712" s="5"/>
      <c r="T712" s="5"/>
      <c r="U712" s="5"/>
      <c r="V712" s="5"/>
      <c r="W712" s="5"/>
      <c r="X712" s="5"/>
      <c r="Y712" s="5"/>
    </row>
    <row r="713" spans="2:25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P713" s="5"/>
      <c r="Q713" s="5"/>
      <c r="T713" s="5"/>
      <c r="U713" s="5"/>
      <c r="V713" s="5"/>
      <c r="W713" s="5"/>
      <c r="X713" s="5"/>
      <c r="Y713" s="5"/>
    </row>
    <row r="714" spans="2:25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P714" s="5"/>
      <c r="Q714" s="5"/>
      <c r="T714" s="5"/>
      <c r="U714" s="5"/>
      <c r="V714" s="5"/>
      <c r="W714" s="5"/>
      <c r="X714" s="5"/>
      <c r="Y714" s="5"/>
    </row>
    <row r="715" spans="2:25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P715" s="5"/>
      <c r="Q715" s="5"/>
      <c r="T715" s="5"/>
      <c r="U715" s="5"/>
      <c r="V715" s="5"/>
      <c r="W715" s="5"/>
      <c r="X715" s="5"/>
      <c r="Y715" s="5"/>
    </row>
    <row r="716" spans="2:25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P716" s="5"/>
      <c r="Q716" s="5"/>
      <c r="T716" s="5"/>
      <c r="U716" s="5"/>
      <c r="V716" s="5"/>
      <c r="W716" s="5"/>
      <c r="X716" s="5"/>
      <c r="Y716" s="5"/>
    </row>
    <row r="717" spans="2:25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P717" s="5"/>
      <c r="Q717" s="5"/>
      <c r="T717" s="5"/>
      <c r="U717" s="5"/>
      <c r="V717" s="5"/>
      <c r="W717" s="5"/>
      <c r="X717" s="5"/>
      <c r="Y717" s="5"/>
    </row>
    <row r="718" spans="2:25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P718" s="5"/>
      <c r="Q718" s="5"/>
      <c r="T718" s="5"/>
      <c r="U718" s="5"/>
      <c r="V718" s="5"/>
      <c r="W718" s="5"/>
      <c r="X718" s="5"/>
      <c r="Y718" s="5"/>
    </row>
    <row r="719" spans="2:25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P719" s="5"/>
      <c r="Q719" s="5"/>
      <c r="T719" s="5"/>
      <c r="U719" s="5"/>
      <c r="V719" s="5"/>
      <c r="W719" s="5"/>
      <c r="X719" s="5"/>
      <c r="Y719" s="5"/>
    </row>
    <row r="720" spans="2:25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P720" s="5"/>
      <c r="Q720" s="5"/>
      <c r="T720" s="5"/>
      <c r="U720" s="5"/>
      <c r="V720" s="5"/>
      <c r="W720" s="5"/>
      <c r="X720" s="5"/>
      <c r="Y720" s="5"/>
    </row>
    <row r="721" spans="2:25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P721" s="5"/>
      <c r="Q721" s="5"/>
      <c r="T721" s="5"/>
      <c r="U721" s="5"/>
      <c r="V721" s="5"/>
      <c r="W721" s="5"/>
      <c r="X721" s="5"/>
      <c r="Y721" s="5"/>
    </row>
    <row r="722" spans="2:25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P722" s="5"/>
      <c r="Q722" s="5"/>
      <c r="T722" s="5"/>
      <c r="U722" s="5"/>
      <c r="V722" s="5"/>
      <c r="W722" s="5"/>
      <c r="X722" s="5"/>
      <c r="Y722" s="5"/>
    </row>
    <row r="723" spans="2:25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P723" s="5"/>
      <c r="Q723" s="5"/>
      <c r="T723" s="5"/>
      <c r="U723" s="5"/>
      <c r="V723" s="5"/>
      <c r="W723" s="5"/>
      <c r="X723" s="5"/>
      <c r="Y723" s="5"/>
    </row>
    <row r="724" spans="2:25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P724" s="5"/>
      <c r="Q724" s="5"/>
      <c r="T724" s="5"/>
      <c r="U724" s="5"/>
      <c r="V724" s="5"/>
      <c r="W724" s="5"/>
      <c r="X724" s="5"/>
      <c r="Y724" s="5"/>
    </row>
    <row r="725" spans="2:25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P725" s="5"/>
      <c r="Q725" s="5"/>
      <c r="T725" s="5"/>
      <c r="U725" s="5"/>
      <c r="V725" s="5"/>
      <c r="W725" s="5"/>
      <c r="X725" s="5"/>
      <c r="Y725" s="5"/>
    </row>
    <row r="726" spans="2:25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P726" s="5"/>
      <c r="Q726" s="5"/>
      <c r="T726" s="5"/>
      <c r="U726" s="5"/>
      <c r="V726" s="5"/>
      <c r="W726" s="5"/>
      <c r="X726" s="5"/>
      <c r="Y726" s="5"/>
    </row>
    <row r="727" spans="2:25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P727" s="5"/>
      <c r="Q727" s="5"/>
      <c r="T727" s="5"/>
      <c r="U727" s="5"/>
      <c r="V727" s="5"/>
      <c r="W727" s="5"/>
      <c r="X727" s="5"/>
      <c r="Y727" s="5"/>
    </row>
    <row r="728" spans="2:25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P728" s="5"/>
      <c r="Q728" s="5"/>
      <c r="T728" s="5"/>
      <c r="U728" s="5"/>
      <c r="V728" s="5"/>
      <c r="W728" s="5"/>
      <c r="X728" s="5"/>
      <c r="Y728" s="5"/>
    </row>
    <row r="729" spans="2:25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P729" s="5"/>
      <c r="Q729" s="5"/>
      <c r="T729" s="5"/>
      <c r="U729" s="5"/>
      <c r="V729" s="5"/>
      <c r="W729" s="5"/>
      <c r="X729" s="5"/>
      <c r="Y729" s="5"/>
    </row>
    <row r="730" spans="2:25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P730" s="5"/>
      <c r="Q730" s="5"/>
      <c r="T730" s="5"/>
      <c r="U730" s="5"/>
      <c r="V730" s="5"/>
      <c r="W730" s="5"/>
      <c r="X730" s="5"/>
      <c r="Y730" s="5"/>
    </row>
    <row r="731" spans="2:25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P731" s="5"/>
      <c r="Q731" s="5"/>
      <c r="T731" s="5"/>
      <c r="U731" s="5"/>
      <c r="V731" s="5"/>
      <c r="W731" s="5"/>
      <c r="X731" s="5"/>
      <c r="Y731" s="5"/>
    </row>
    <row r="732" spans="2:25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P732" s="5"/>
      <c r="Q732" s="5"/>
      <c r="T732" s="5"/>
      <c r="U732" s="5"/>
      <c r="V732" s="5"/>
      <c r="W732" s="5"/>
      <c r="X732" s="5"/>
      <c r="Y732" s="5"/>
    </row>
    <row r="733" spans="2:25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P733" s="5"/>
      <c r="Q733" s="5"/>
      <c r="T733" s="5"/>
      <c r="U733" s="5"/>
      <c r="V733" s="5"/>
      <c r="W733" s="5"/>
      <c r="X733" s="5"/>
      <c r="Y733" s="5"/>
    </row>
    <row r="734" spans="2:25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P734" s="5"/>
      <c r="Q734" s="5"/>
      <c r="T734" s="5"/>
      <c r="U734" s="5"/>
      <c r="V734" s="5"/>
      <c r="W734" s="5"/>
      <c r="X734" s="5"/>
      <c r="Y734" s="5"/>
    </row>
    <row r="735" spans="2:25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P735" s="5"/>
      <c r="Q735" s="5"/>
      <c r="T735" s="5"/>
      <c r="U735" s="5"/>
      <c r="V735" s="5"/>
      <c r="W735" s="5"/>
      <c r="X735" s="5"/>
      <c r="Y735" s="5"/>
    </row>
    <row r="736" spans="2:25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P736" s="5"/>
      <c r="Q736" s="5"/>
      <c r="T736" s="5"/>
      <c r="U736" s="5"/>
      <c r="V736" s="5"/>
      <c r="W736" s="5"/>
      <c r="X736" s="5"/>
      <c r="Y736" s="5"/>
    </row>
    <row r="737" spans="2:25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P737" s="5"/>
      <c r="Q737" s="5"/>
      <c r="T737" s="5"/>
      <c r="U737" s="5"/>
      <c r="V737" s="5"/>
      <c r="W737" s="5"/>
      <c r="X737" s="5"/>
      <c r="Y737" s="5"/>
    </row>
    <row r="738" spans="2:25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P738" s="5"/>
      <c r="Q738" s="5"/>
      <c r="T738" s="5"/>
      <c r="U738" s="5"/>
      <c r="V738" s="5"/>
      <c r="W738" s="5"/>
      <c r="X738" s="5"/>
      <c r="Y738" s="5"/>
    </row>
    <row r="739" spans="2:25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P739" s="5"/>
      <c r="Q739" s="5"/>
      <c r="T739" s="5"/>
      <c r="U739" s="5"/>
      <c r="V739" s="5"/>
      <c r="W739" s="5"/>
      <c r="X739" s="5"/>
      <c r="Y739" s="5"/>
    </row>
    <row r="740" spans="2:25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P740" s="5"/>
      <c r="Q740" s="5"/>
      <c r="T740" s="5"/>
      <c r="U740" s="5"/>
      <c r="V740" s="5"/>
      <c r="W740" s="5"/>
      <c r="X740" s="5"/>
      <c r="Y740" s="5"/>
    </row>
    <row r="741" spans="2:25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P741" s="5"/>
      <c r="Q741" s="5"/>
      <c r="T741" s="5"/>
      <c r="U741" s="5"/>
      <c r="V741" s="5"/>
      <c r="W741" s="5"/>
      <c r="X741" s="5"/>
      <c r="Y741" s="5"/>
    </row>
    <row r="742" spans="2:25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P742" s="5"/>
      <c r="Q742" s="5"/>
      <c r="T742" s="5"/>
      <c r="U742" s="5"/>
      <c r="V742" s="5"/>
      <c r="W742" s="5"/>
      <c r="X742" s="5"/>
      <c r="Y742" s="5"/>
    </row>
    <row r="743" spans="2:25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P743" s="5"/>
      <c r="Q743" s="5"/>
      <c r="T743" s="5"/>
      <c r="U743" s="5"/>
      <c r="V743" s="5"/>
      <c r="W743" s="5"/>
      <c r="X743" s="5"/>
      <c r="Y743" s="5"/>
    </row>
    <row r="744" spans="2:25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P744" s="5"/>
      <c r="Q744" s="5"/>
      <c r="T744" s="5"/>
      <c r="U744" s="5"/>
      <c r="V744" s="5"/>
      <c r="W744" s="5"/>
      <c r="X744" s="5"/>
      <c r="Y744" s="5"/>
    </row>
    <row r="745" spans="2:25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P745" s="5"/>
      <c r="Q745" s="5"/>
      <c r="T745" s="5"/>
      <c r="U745" s="5"/>
      <c r="V745" s="5"/>
      <c r="W745" s="5"/>
      <c r="X745" s="5"/>
      <c r="Y745" s="5"/>
    </row>
    <row r="746" spans="2:25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P746" s="5"/>
      <c r="Q746" s="5"/>
      <c r="T746" s="5"/>
      <c r="U746" s="5"/>
      <c r="V746" s="5"/>
      <c r="W746" s="5"/>
      <c r="X746" s="5"/>
      <c r="Y746" s="5"/>
    </row>
    <row r="747" spans="2:25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P747" s="5"/>
      <c r="Q747" s="5"/>
      <c r="T747" s="5"/>
      <c r="U747" s="5"/>
      <c r="V747" s="5"/>
      <c r="W747" s="5"/>
      <c r="X747" s="5"/>
      <c r="Y747" s="5"/>
    </row>
    <row r="748" spans="2:25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P748" s="5"/>
      <c r="Q748" s="5"/>
      <c r="T748" s="5"/>
      <c r="U748" s="5"/>
      <c r="V748" s="5"/>
      <c r="W748" s="5"/>
      <c r="X748" s="5"/>
      <c r="Y748" s="5"/>
    </row>
    <row r="749" spans="2:25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P749" s="5"/>
      <c r="Q749" s="5"/>
      <c r="T749" s="5"/>
      <c r="U749" s="5"/>
      <c r="V749" s="5"/>
      <c r="W749" s="5"/>
      <c r="X749" s="5"/>
      <c r="Y749" s="5"/>
    </row>
    <row r="750" spans="2:25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P750" s="5"/>
      <c r="Q750" s="5"/>
      <c r="T750" s="5"/>
      <c r="U750" s="5"/>
      <c r="V750" s="5"/>
      <c r="W750" s="5"/>
      <c r="X750" s="5"/>
      <c r="Y750" s="5"/>
    </row>
    <row r="751" spans="2:25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P751" s="5"/>
      <c r="Q751" s="5"/>
      <c r="T751" s="5"/>
      <c r="U751" s="5"/>
      <c r="V751" s="5"/>
      <c r="W751" s="5"/>
      <c r="X751" s="5"/>
      <c r="Y751" s="5"/>
    </row>
    <row r="752" spans="2:25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P752" s="5"/>
      <c r="Q752" s="5"/>
      <c r="T752" s="5"/>
      <c r="U752" s="5"/>
      <c r="V752" s="5"/>
      <c r="W752" s="5"/>
      <c r="X752" s="5"/>
      <c r="Y752" s="5"/>
    </row>
    <row r="753" spans="2:25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P753" s="5"/>
      <c r="Q753" s="5"/>
      <c r="T753" s="5"/>
      <c r="U753" s="5"/>
      <c r="V753" s="5"/>
      <c r="W753" s="5"/>
      <c r="X753" s="5"/>
      <c r="Y753" s="5"/>
    </row>
    <row r="754" spans="2:25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P754" s="5"/>
      <c r="Q754" s="5"/>
      <c r="T754" s="5"/>
      <c r="U754" s="5"/>
      <c r="V754" s="5"/>
      <c r="W754" s="5"/>
      <c r="X754" s="5"/>
      <c r="Y754" s="5"/>
    </row>
    <row r="755" spans="2:25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P755" s="5"/>
      <c r="Q755" s="5"/>
      <c r="T755" s="5"/>
      <c r="U755" s="5"/>
      <c r="V755" s="5"/>
      <c r="W755" s="5"/>
      <c r="X755" s="5"/>
      <c r="Y755" s="5"/>
    </row>
    <row r="756" spans="2:25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P756" s="5"/>
      <c r="Q756" s="5"/>
      <c r="T756" s="5"/>
      <c r="U756" s="5"/>
      <c r="V756" s="5"/>
      <c r="W756" s="5"/>
      <c r="X756" s="5"/>
      <c r="Y756" s="5"/>
    </row>
    <row r="757" spans="2:25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P757" s="5"/>
      <c r="Q757" s="5"/>
      <c r="T757" s="5"/>
      <c r="U757" s="5"/>
      <c r="V757" s="5"/>
      <c r="W757" s="5"/>
      <c r="X757" s="5"/>
      <c r="Y757" s="5"/>
    </row>
    <row r="758" spans="2:25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P758" s="5"/>
      <c r="Q758" s="5"/>
      <c r="T758" s="5"/>
      <c r="U758" s="5"/>
      <c r="V758" s="5"/>
      <c r="W758" s="5"/>
      <c r="X758" s="5"/>
      <c r="Y758" s="5"/>
    </row>
    <row r="759" spans="2:25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P759" s="5"/>
      <c r="Q759" s="5"/>
      <c r="T759" s="5"/>
      <c r="U759" s="5"/>
      <c r="V759" s="5"/>
      <c r="W759" s="5"/>
      <c r="X759" s="5"/>
      <c r="Y759" s="5"/>
    </row>
    <row r="760" spans="2:25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P760" s="5"/>
      <c r="Q760" s="5"/>
      <c r="T760" s="5"/>
      <c r="U760" s="5"/>
      <c r="V760" s="5"/>
      <c r="W760" s="5"/>
      <c r="X760" s="5"/>
      <c r="Y760" s="5"/>
    </row>
    <row r="761" spans="2:25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P761" s="5"/>
      <c r="Q761" s="5"/>
      <c r="T761" s="5"/>
      <c r="U761" s="5"/>
      <c r="V761" s="5"/>
      <c r="W761" s="5"/>
      <c r="X761" s="5"/>
      <c r="Y761" s="5"/>
    </row>
    <row r="762" spans="2:25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P762" s="5"/>
      <c r="Q762" s="5"/>
      <c r="T762" s="5"/>
      <c r="U762" s="5"/>
      <c r="V762" s="5"/>
      <c r="W762" s="5"/>
      <c r="X762" s="5"/>
      <c r="Y762" s="5"/>
    </row>
    <row r="763" spans="2:25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P763" s="5"/>
      <c r="Q763" s="5"/>
      <c r="T763" s="5"/>
      <c r="U763" s="5"/>
      <c r="V763" s="5"/>
      <c r="W763" s="5"/>
      <c r="X763" s="5"/>
      <c r="Y763" s="5"/>
    </row>
    <row r="764" spans="2:25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P764" s="5"/>
      <c r="Q764" s="5"/>
      <c r="T764" s="5"/>
      <c r="U764" s="5"/>
      <c r="V764" s="5"/>
      <c r="W764" s="5"/>
      <c r="X764" s="5"/>
      <c r="Y764" s="5"/>
    </row>
    <row r="765" spans="2:25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P765" s="5"/>
      <c r="Q765" s="5"/>
      <c r="T765" s="5"/>
      <c r="U765" s="5"/>
      <c r="V765" s="5"/>
      <c r="W765" s="5"/>
      <c r="X765" s="5"/>
      <c r="Y765" s="5"/>
    </row>
    <row r="766" spans="2:25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P766" s="5"/>
      <c r="Q766" s="5"/>
      <c r="T766" s="5"/>
      <c r="U766" s="5"/>
      <c r="V766" s="5"/>
      <c r="W766" s="5"/>
      <c r="X766" s="5"/>
      <c r="Y766" s="5"/>
    </row>
    <row r="767" spans="2:25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P767" s="5"/>
      <c r="Q767" s="5"/>
      <c r="T767" s="5"/>
      <c r="U767" s="5"/>
      <c r="V767" s="5"/>
      <c r="W767" s="5"/>
      <c r="X767" s="5"/>
      <c r="Y767" s="5"/>
    </row>
    <row r="768" spans="2:25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P768" s="5"/>
      <c r="Q768" s="5"/>
      <c r="T768" s="5"/>
      <c r="U768" s="5"/>
      <c r="V768" s="5"/>
      <c r="W768" s="5"/>
      <c r="X768" s="5"/>
      <c r="Y768" s="5"/>
    </row>
    <row r="769" spans="2:25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P769" s="5"/>
      <c r="Q769" s="5"/>
      <c r="T769" s="5"/>
      <c r="U769" s="5"/>
      <c r="V769" s="5"/>
      <c r="W769" s="5"/>
      <c r="X769" s="5"/>
      <c r="Y769" s="5"/>
    </row>
    <row r="770" spans="2:25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P770" s="5"/>
      <c r="Q770" s="5"/>
      <c r="T770" s="5"/>
      <c r="U770" s="5"/>
      <c r="V770" s="5"/>
      <c r="W770" s="5"/>
      <c r="X770" s="5"/>
      <c r="Y770" s="5"/>
    </row>
    <row r="771" spans="2:25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P771" s="5"/>
      <c r="Q771" s="5"/>
      <c r="T771" s="5"/>
      <c r="U771" s="5"/>
      <c r="V771" s="5"/>
      <c r="W771" s="5"/>
      <c r="X771" s="5"/>
      <c r="Y771" s="5"/>
    </row>
    <row r="772" spans="2:25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P772" s="5"/>
      <c r="Q772" s="5"/>
      <c r="T772" s="5"/>
      <c r="U772" s="5"/>
      <c r="V772" s="5"/>
      <c r="W772" s="5"/>
      <c r="X772" s="5"/>
      <c r="Y772" s="5"/>
    </row>
    <row r="773" spans="2:25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P773" s="5"/>
      <c r="Q773" s="5"/>
      <c r="T773" s="5"/>
      <c r="U773" s="5"/>
      <c r="V773" s="5"/>
      <c r="W773" s="5"/>
      <c r="X773" s="5"/>
      <c r="Y773" s="5"/>
    </row>
    <row r="774" spans="2:25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P774" s="5"/>
      <c r="Q774" s="5"/>
      <c r="T774" s="5"/>
      <c r="U774" s="5"/>
      <c r="V774" s="5"/>
      <c r="W774" s="5"/>
      <c r="X774" s="5"/>
      <c r="Y774" s="5"/>
    </row>
    <row r="775" spans="2:25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P775" s="5"/>
      <c r="Q775" s="5"/>
      <c r="T775" s="5"/>
      <c r="U775" s="5"/>
      <c r="V775" s="5"/>
      <c r="W775" s="5"/>
      <c r="X775" s="5"/>
      <c r="Y775" s="5"/>
    </row>
    <row r="776" spans="2:25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P776" s="5"/>
      <c r="Q776" s="5"/>
      <c r="T776" s="5"/>
      <c r="U776" s="5"/>
      <c r="V776" s="5"/>
      <c r="W776" s="5"/>
      <c r="X776" s="5"/>
      <c r="Y776" s="5"/>
    </row>
    <row r="777" spans="2:25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P777" s="5"/>
      <c r="Q777" s="5"/>
      <c r="T777" s="5"/>
      <c r="U777" s="5"/>
      <c r="V777" s="5"/>
      <c r="W777" s="5"/>
      <c r="X777" s="5"/>
      <c r="Y777" s="5"/>
    </row>
    <row r="778" spans="2:25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P778" s="5"/>
      <c r="Q778" s="5"/>
      <c r="T778" s="5"/>
      <c r="U778" s="5"/>
      <c r="V778" s="5"/>
      <c r="W778" s="5"/>
      <c r="X778" s="5"/>
      <c r="Y778" s="5"/>
    </row>
    <row r="779" spans="2:25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P779" s="5"/>
      <c r="Q779" s="5"/>
      <c r="T779" s="5"/>
      <c r="U779" s="5"/>
      <c r="V779" s="5"/>
      <c r="W779" s="5"/>
      <c r="X779" s="5"/>
      <c r="Y779" s="5"/>
    </row>
    <row r="780" spans="2:25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P780" s="5"/>
      <c r="Q780" s="5"/>
      <c r="T780" s="5"/>
      <c r="U780" s="5"/>
      <c r="V780" s="5"/>
      <c r="W780" s="5"/>
      <c r="X780" s="5"/>
      <c r="Y780" s="5"/>
    </row>
    <row r="781" spans="2:25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P781" s="5"/>
      <c r="Q781" s="5"/>
      <c r="T781" s="5"/>
      <c r="U781" s="5"/>
      <c r="V781" s="5"/>
      <c r="W781" s="5"/>
      <c r="X781" s="5"/>
      <c r="Y781" s="5"/>
    </row>
    <row r="782" spans="2:25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P782" s="5"/>
      <c r="Q782" s="5"/>
      <c r="T782" s="5"/>
      <c r="U782" s="5"/>
      <c r="V782" s="5"/>
      <c r="W782" s="5"/>
      <c r="X782" s="5"/>
      <c r="Y782" s="5"/>
    </row>
    <row r="783" spans="2:25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P783" s="5"/>
      <c r="Q783" s="5"/>
      <c r="T783" s="5"/>
      <c r="U783" s="5"/>
      <c r="V783" s="5"/>
      <c r="W783" s="5"/>
      <c r="X783" s="5"/>
      <c r="Y783" s="5"/>
    </row>
    <row r="784" spans="2:25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P784" s="5"/>
      <c r="Q784" s="5"/>
      <c r="T784" s="5"/>
      <c r="U784" s="5"/>
      <c r="V784" s="5"/>
      <c r="W784" s="5"/>
      <c r="X784" s="5"/>
      <c r="Y784" s="5"/>
    </row>
    <row r="785" spans="2:25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P785" s="5"/>
      <c r="Q785" s="5"/>
      <c r="T785" s="5"/>
      <c r="U785" s="5"/>
      <c r="V785" s="5"/>
      <c r="W785" s="5"/>
      <c r="X785" s="5"/>
      <c r="Y785" s="5"/>
    </row>
    <row r="786" spans="2:25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P786" s="5"/>
      <c r="Q786" s="5"/>
      <c r="T786" s="5"/>
      <c r="U786" s="5"/>
      <c r="V786" s="5"/>
      <c r="W786" s="5"/>
      <c r="X786" s="5"/>
      <c r="Y786" s="5"/>
    </row>
    <row r="787" spans="2:25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P787" s="5"/>
      <c r="Q787" s="5"/>
      <c r="T787" s="5"/>
      <c r="U787" s="5"/>
      <c r="V787" s="5"/>
      <c r="W787" s="5"/>
      <c r="X787" s="5"/>
      <c r="Y787" s="5"/>
    </row>
    <row r="788" spans="2:25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P788" s="5"/>
      <c r="Q788" s="5"/>
      <c r="T788" s="5"/>
      <c r="U788" s="5"/>
      <c r="V788" s="5"/>
      <c r="W788" s="5"/>
      <c r="X788" s="5"/>
      <c r="Y788" s="5"/>
    </row>
    <row r="789" spans="2:25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P789" s="5"/>
      <c r="Q789" s="5"/>
      <c r="T789" s="5"/>
      <c r="U789" s="5"/>
      <c r="V789" s="5"/>
      <c r="W789" s="5"/>
      <c r="X789" s="5"/>
      <c r="Y789" s="5"/>
    </row>
    <row r="790" spans="2:25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P790" s="5"/>
      <c r="Q790" s="5"/>
      <c r="T790" s="5"/>
      <c r="U790" s="5"/>
      <c r="V790" s="5"/>
      <c r="W790" s="5"/>
      <c r="X790" s="5"/>
      <c r="Y790" s="5"/>
    </row>
    <row r="791" spans="2:25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P791" s="5"/>
      <c r="Q791" s="5"/>
      <c r="T791" s="5"/>
      <c r="U791" s="5"/>
      <c r="V791" s="5"/>
      <c r="W791" s="5"/>
      <c r="X791" s="5"/>
      <c r="Y791" s="5"/>
    </row>
    <row r="792" spans="2:25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P792" s="5"/>
      <c r="Q792" s="5"/>
      <c r="T792" s="5"/>
      <c r="U792" s="5"/>
      <c r="V792" s="5"/>
      <c r="W792" s="5"/>
      <c r="X792" s="5"/>
      <c r="Y792" s="5"/>
    </row>
    <row r="793" spans="2:25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P793" s="5"/>
      <c r="Q793" s="5"/>
      <c r="T793" s="5"/>
      <c r="U793" s="5"/>
      <c r="V793" s="5"/>
      <c r="W793" s="5"/>
      <c r="X793" s="5"/>
      <c r="Y793" s="5"/>
    </row>
    <row r="794" spans="2:25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P794" s="5"/>
      <c r="Q794" s="5"/>
      <c r="T794" s="5"/>
      <c r="U794" s="5"/>
      <c r="V794" s="5"/>
      <c r="W794" s="5"/>
      <c r="X794" s="5"/>
      <c r="Y794" s="5"/>
    </row>
    <row r="795" spans="2:25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P795" s="5"/>
      <c r="Q795" s="5"/>
      <c r="T795" s="5"/>
      <c r="U795" s="5"/>
      <c r="V795" s="5"/>
      <c r="W795" s="5"/>
      <c r="X795" s="5"/>
      <c r="Y795" s="5"/>
    </row>
    <row r="796" spans="2:25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P796" s="5"/>
      <c r="Q796" s="5"/>
      <c r="T796" s="5"/>
      <c r="U796" s="5"/>
      <c r="V796" s="5"/>
      <c r="W796" s="5"/>
      <c r="X796" s="5"/>
      <c r="Y796" s="5"/>
    </row>
    <row r="797" spans="2:25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P797" s="5"/>
      <c r="Q797" s="5"/>
      <c r="T797" s="5"/>
      <c r="U797" s="5"/>
      <c r="V797" s="5"/>
      <c r="W797" s="5"/>
      <c r="X797" s="5"/>
      <c r="Y797" s="5"/>
    </row>
    <row r="798" spans="2:25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P798" s="5"/>
      <c r="Q798" s="5"/>
      <c r="T798" s="5"/>
      <c r="U798" s="5"/>
      <c r="V798" s="5"/>
      <c r="W798" s="5"/>
      <c r="X798" s="5"/>
      <c r="Y798" s="5"/>
    </row>
    <row r="799" spans="2:25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P799" s="5"/>
      <c r="Q799" s="5"/>
      <c r="T799" s="5"/>
      <c r="U799" s="5"/>
      <c r="V799" s="5"/>
      <c r="W799" s="5"/>
      <c r="X799" s="5"/>
      <c r="Y799" s="5"/>
    </row>
    <row r="800" spans="2:25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P800" s="5"/>
      <c r="Q800" s="5"/>
      <c r="T800" s="5"/>
      <c r="U800" s="5"/>
      <c r="V800" s="5"/>
      <c r="W800" s="5"/>
      <c r="X800" s="5"/>
      <c r="Y800" s="5"/>
    </row>
    <row r="801" spans="2:25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P801" s="5"/>
      <c r="Q801" s="5"/>
      <c r="T801" s="5"/>
      <c r="U801" s="5"/>
      <c r="V801" s="5"/>
      <c r="W801" s="5"/>
      <c r="X801" s="5"/>
      <c r="Y801" s="5"/>
    </row>
    <row r="802" spans="2:25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P802" s="5"/>
      <c r="Q802" s="5"/>
      <c r="T802" s="5"/>
      <c r="U802" s="5"/>
      <c r="V802" s="5"/>
      <c r="W802" s="5"/>
      <c r="X802" s="5"/>
      <c r="Y802" s="5"/>
    </row>
    <row r="803" spans="2:25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P803" s="5"/>
      <c r="Q803" s="5"/>
      <c r="T803" s="5"/>
      <c r="U803" s="5"/>
      <c r="V803" s="5"/>
      <c r="W803" s="5"/>
      <c r="X803" s="5"/>
      <c r="Y803" s="5"/>
    </row>
    <row r="804" spans="2:25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P804" s="5"/>
      <c r="Q804" s="5"/>
      <c r="T804" s="5"/>
      <c r="U804" s="5"/>
      <c r="V804" s="5"/>
      <c r="W804" s="5"/>
      <c r="X804" s="5"/>
      <c r="Y804" s="5"/>
    </row>
    <row r="805" spans="2:25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P805" s="5"/>
      <c r="Q805" s="5"/>
      <c r="T805" s="5"/>
      <c r="U805" s="5"/>
      <c r="V805" s="5"/>
      <c r="W805" s="5"/>
      <c r="X805" s="5"/>
      <c r="Y805" s="5"/>
    </row>
    <row r="806" spans="2:25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P806" s="5"/>
      <c r="Q806" s="5"/>
      <c r="T806" s="5"/>
      <c r="U806" s="5"/>
      <c r="V806" s="5"/>
      <c r="W806" s="5"/>
      <c r="X806" s="5"/>
      <c r="Y806" s="5"/>
    </row>
    <row r="807" spans="2:25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P807" s="5"/>
      <c r="Q807" s="5"/>
      <c r="T807" s="5"/>
      <c r="U807" s="5"/>
      <c r="V807" s="5"/>
      <c r="W807" s="5"/>
      <c r="X807" s="5"/>
      <c r="Y807" s="5"/>
    </row>
    <row r="808" spans="2:25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P808" s="5"/>
      <c r="Q808" s="5"/>
      <c r="T808" s="5"/>
      <c r="U808" s="5"/>
      <c r="V808" s="5"/>
      <c r="W808" s="5"/>
      <c r="X808" s="5"/>
      <c r="Y808" s="5"/>
    </row>
    <row r="809" spans="2:25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P809" s="5"/>
      <c r="Q809" s="5"/>
      <c r="T809" s="5"/>
      <c r="U809" s="5"/>
      <c r="V809" s="5"/>
      <c r="W809" s="5"/>
      <c r="X809" s="5"/>
      <c r="Y809" s="5"/>
    </row>
    <row r="810" spans="2:25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P810" s="5"/>
      <c r="Q810" s="5"/>
      <c r="T810" s="5"/>
      <c r="U810" s="5"/>
      <c r="V810" s="5"/>
      <c r="W810" s="5"/>
      <c r="X810" s="5"/>
      <c r="Y810" s="5"/>
    </row>
    <row r="811" spans="2:25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P811" s="5"/>
      <c r="Q811" s="5"/>
      <c r="T811" s="5"/>
      <c r="U811" s="5"/>
      <c r="V811" s="5"/>
      <c r="W811" s="5"/>
      <c r="X811" s="5"/>
      <c r="Y811" s="5"/>
    </row>
    <row r="812" spans="2:25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P812" s="5"/>
      <c r="Q812" s="5"/>
      <c r="T812" s="5"/>
      <c r="U812" s="5"/>
      <c r="V812" s="5"/>
      <c r="W812" s="5"/>
      <c r="X812" s="5"/>
      <c r="Y812" s="5"/>
    </row>
    <row r="813" spans="2:25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P813" s="5"/>
      <c r="Q813" s="5"/>
      <c r="T813" s="5"/>
      <c r="U813" s="5"/>
      <c r="V813" s="5"/>
      <c r="W813" s="5"/>
      <c r="X813" s="5"/>
      <c r="Y813" s="5"/>
    </row>
    <row r="814" spans="2:25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P814" s="5"/>
      <c r="Q814" s="5"/>
      <c r="T814" s="5"/>
      <c r="U814" s="5"/>
      <c r="V814" s="5"/>
      <c r="W814" s="5"/>
      <c r="X814" s="5"/>
      <c r="Y814" s="5"/>
    </row>
    <row r="815" spans="2:25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P815" s="5"/>
      <c r="Q815" s="5"/>
      <c r="T815" s="5"/>
      <c r="U815" s="5"/>
      <c r="V815" s="5"/>
      <c r="W815" s="5"/>
      <c r="X815" s="5"/>
      <c r="Y815" s="5"/>
    </row>
    <row r="816" spans="2:25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P816" s="5"/>
      <c r="Q816" s="5"/>
      <c r="T816" s="5"/>
      <c r="U816" s="5"/>
      <c r="V816" s="5"/>
      <c r="W816" s="5"/>
      <c r="X816" s="5"/>
      <c r="Y816" s="5"/>
    </row>
    <row r="817" spans="2:25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P817" s="5"/>
      <c r="Q817" s="5"/>
      <c r="T817" s="5"/>
      <c r="U817" s="5"/>
      <c r="V817" s="5"/>
      <c r="W817" s="5"/>
      <c r="X817" s="5"/>
      <c r="Y817" s="5"/>
    </row>
    <row r="818" spans="2:25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P818" s="5"/>
      <c r="Q818" s="5"/>
      <c r="T818" s="5"/>
      <c r="U818" s="5"/>
      <c r="V818" s="5"/>
      <c r="W818" s="5"/>
      <c r="X818" s="5"/>
      <c r="Y818" s="5"/>
    </row>
    <row r="819" spans="2:25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P819" s="5"/>
      <c r="Q819" s="5"/>
      <c r="T819" s="5"/>
      <c r="U819" s="5"/>
      <c r="V819" s="5"/>
      <c r="W819" s="5"/>
      <c r="X819" s="5"/>
      <c r="Y819" s="5"/>
    </row>
    <row r="820" spans="2:25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P820" s="5"/>
      <c r="Q820" s="5"/>
      <c r="T820" s="5"/>
      <c r="U820" s="5"/>
      <c r="V820" s="5"/>
      <c r="W820" s="5"/>
      <c r="X820" s="5"/>
      <c r="Y820" s="5"/>
    </row>
    <row r="821" spans="2:25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P821" s="5"/>
      <c r="Q821" s="5"/>
      <c r="T821" s="5"/>
      <c r="U821" s="5"/>
      <c r="V821" s="5"/>
      <c r="W821" s="5"/>
      <c r="X821" s="5"/>
      <c r="Y821" s="5"/>
    </row>
    <row r="822" spans="2:25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P822" s="5"/>
      <c r="Q822" s="5"/>
      <c r="T822" s="5"/>
      <c r="U822" s="5"/>
      <c r="V822" s="5"/>
      <c r="W822" s="5"/>
      <c r="X822" s="5"/>
      <c r="Y822" s="5"/>
    </row>
    <row r="823" spans="2:25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P823" s="5"/>
      <c r="Q823" s="5"/>
      <c r="T823" s="5"/>
      <c r="U823" s="5"/>
      <c r="V823" s="5"/>
      <c r="W823" s="5"/>
      <c r="X823" s="5"/>
      <c r="Y823" s="5"/>
    </row>
    <row r="824" spans="2:25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P824" s="5"/>
      <c r="Q824" s="5"/>
      <c r="T824" s="5"/>
      <c r="U824" s="5"/>
      <c r="V824" s="5"/>
      <c r="W824" s="5"/>
      <c r="X824" s="5"/>
      <c r="Y824" s="5"/>
    </row>
    <row r="825" spans="2:25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P825" s="5"/>
      <c r="Q825" s="5"/>
      <c r="T825" s="5"/>
      <c r="U825" s="5"/>
      <c r="V825" s="5"/>
      <c r="W825" s="5"/>
      <c r="X825" s="5"/>
      <c r="Y825" s="5"/>
    </row>
    <row r="826" spans="2:25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P826" s="5"/>
      <c r="Q826" s="5"/>
      <c r="T826" s="5"/>
      <c r="U826" s="5"/>
      <c r="V826" s="5"/>
      <c r="W826" s="5"/>
      <c r="X826" s="5"/>
      <c r="Y826" s="5"/>
    </row>
    <row r="827" spans="2:25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P827" s="5"/>
      <c r="Q827" s="5"/>
      <c r="T827" s="5"/>
      <c r="U827" s="5"/>
      <c r="V827" s="5"/>
      <c r="W827" s="5"/>
      <c r="X827" s="5"/>
      <c r="Y827" s="5"/>
    </row>
    <row r="828" spans="2:25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P828" s="5"/>
      <c r="Q828" s="5"/>
      <c r="T828" s="5"/>
      <c r="U828" s="5"/>
      <c r="V828" s="5"/>
      <c r="W828" s="5"/>
      <c r="X828" s="5"/>
      <c r="Y828" s="5"/>
    </row>
    <row r="829" spans="2:25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P829" s="5"/>
      <c r="Q829" s="5"/>
      <c r="T829" s="5"/>
      <c r="U829" s="5"/>
      <c r="V829" s="5"/>
      <c r="W829" s="5"/>
      <c r="X829" s="5"/>
      <c r="Y829" s="5"/>
    </row>
    <row r="830" spans="2:25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P830" s="5"/>
      <c r="Q830" s="5"/>
      <c r="T830" s="5"/>
      <c r="U830" s="5"/>
      <c r="V830" s="5"/>
      <c r="W830" s="5"/>
      <c r="X830" s="5"/>
      <c r="Y830" s="5"/>
    </row>
    <row r="831" spans="2:25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P831" s="5"/>
      <c r="Q831" s="5"/>
      <c r="T831" s="5"/>
      <c r="U831" s="5"/>
      <c r="V831" s="5"/>
      <c r="W831" s="5"/>
      <c r="X831" s="5"/>
      <c r="Y831" s="5"/>
    </row>
    <row r="832" spans="2:25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P832" s="5"/>
      <c r="Q832" s="5"/>
      <c r="T832" s="5"/>
      <c r="U832" s="5"/>
      <c r="V832" s="5"/>
      <c r="W832" s="5"/>
      <c r="X832" s="5"/>
      <c r="Y832" s="5"/>
    </row>
    <row r="833" spans="2:25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P833" s="5"/>
      <c r="Q833" s="5"/>
      <c r="T833" s="5"/>
      <c r="U833" s="5"/>
      <c r="V833" s="5"/>
      <c r="W833" s="5"/>
      <c r="X833" s="5"/>
      <c r="Y833" s="5"/>
    </row>
    <row r="834" spans="2:25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P834" s="5"/>
      <c r="Q834" s="5"/>
      <c r="T834" s="5"/>
      <c r="U834" s="5"/>
      <c r="V834" s="5"/>
      <c r="W834" s="5"/>
      <c r="X834" s="5"/>
      <c r="Y834" s="5"/>
    </row>
    <row r="835" spans="2:25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P835" s="5"/>
      <c r="Q835" s="5"/>
      <c r="T835" s="5"/>
      <c r="U835" s="5"/>
      <c r="V835" s="5"/>
      <c r="W835" s="5"/>
      <c r="X835" s="5"/>
      <c r="Y835" s="5"/>
    </row>
    <row r="836" spans="2:25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P836" s="5"/>
      <c r="Q836" s="5"/>
      <c r="T836" s="5"/>
      <c r="U836" s="5"/>
      <c r="V836" s="5"/>
      <c r="W836" s="5"/>
      <c r="X836" s="5"/>
      <c r="Y836" s="5"/>
    </row>
    <row r="837" spans="2:25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P837" s="5"/>
      <c r="Q837" s="5"/>
      <c r="T837" s="5"/>
      <c r="U837" s="5"/>
      <c r="V837" s="5"/>
      <c r="W837" s="5"/>
      <c r="X837" s="5"/>
      <c r="Y837" s="5"/>
    </row>
    <row r="838" spans="2:25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P838" s="5"/>
      <c r="Q838" s="5"/>
      <c r="T838" s="5"/>
      <c r="U838" s="5"/>
      <c r="V838" s="5"/>
      <c r="W838" s="5"/>
      <c r="X838" s="5"/>
      <c r="Y838" s="5"/>
    </row>
    <row r="839" spans="2:25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P839" s="5"/>
      <c r="Q839" s="5"/>
      <c r="T839" s="5"/>
      <c r="U839" s="5"/>
      <c r="V839" s="5"/>
      <c r="W839" s="5"/>
      <c r="X839" s="5"/>
      <c r="Y839" s="5"/>
    </row>
    <row r="840" spans="2:25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P840" s="5"/>
      <c r="Q840" s="5"/>
      <c r="T840" s="5"/>
      <c r="U840" s="5"/>
      <c r="V840" s="5"/>
      <c r="W840" s="5"/>
      <c r="X840" s="5"/>
      <c r="Y840" s="5"/>
    </row>
    <row r="841" spans="2:25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P841" s="5"/>
      <c r="Q841" s="5"/>
      <c r="T841" s="5"/>
      <c r="U841" s="5"/>
      <c r="V841" s="5"/>
      <c r="W841" s="5"/>
      <c r="X841" s="5"/>
      <c r="Y841" s="5"/>
    </row>
    <row r="842" spans="2:25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P842" s="5"/>
      <c r="Q842" s="5"/>
      <c r="T842" s="5"/>
      <c r="U842" s="5"/>
      <c r="V842" s="5"/>
      <c r="W842" s="5"/>
      <c r="X842" s="5"/>
      <c r="Y842" s="5"/>
    </row>
    <row r="843" spans="2:25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P843" s="5"/>
      <c r="Q843" s="5"/>
      <c r="T843" s="5"/>
      <c r="U843" s="5"/>
      <c r="V843" s="5"/>
      <c r="W843" s="5"/>
      <c r="X843" s="5"/>
      <c r="Y843" s="5"/>
    </row>
    <row r="844" spans="2:25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P844" s="5"/>
      <c r="Q844" s="5"/>
      <c r="T844" s="5"/>
      <c r="U844" s="5"/>
      <c r="V844" s="5"/>
      <c r="W844" s="5"/>
      <c r="X844" s="5"/>
      <c r="Y844" s="5"/>
    </row>
    <row r="845" spans="2:25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P845" s="5"/>
      <c r="Q845" s="5"/>
      <c r="T845" s="5"/>
      <c r="U845" s="5"/>
      <c r="V845" s="5"/>
      <c r="W845" s="5"/>
      <c r="X845" s="5"/>
      <c r="Y845" s="5"/>
    </row>
    <row r="846" spans="2:25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P846" s="5"/>
      <c r="Q846" s="5"/>
      <c r="T846" s="5"/>
      <c r="U846" s="5"/>
      <c r="V846" s="5"/>
      <c r="W846" s="5"/>
      <c r="X846" s="5"/>
      <c r="Y846" s="5"/>
    </row>
    <row r="847" spans="2:25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P847" s="5"/>
      <c r="Q847" s="5"/>
      <c r="T847" s="5"/>
      <c r="U847" s="5"/>
      <c r="V847" s="5"/>
      <c r="W847" s="5"/>
      <c r="X847" s="5"/>
      <c r="Y847" s="5"/>
    </row>
    <row r="848" spans="2:25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P848" s="5"/>
      <c r="Q848" s="5"/>
      <c r="T848" s="5"/>
      <c r="U848" s="5"/>
      <c r="V848" s="5"/>
      <c r="W848" s="5"/>
      <c r="X848" s="5"/>
      <c r="Y848" s="5"/>
    </row>
    <row r="849" spans="2:25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P849" s="5"/>
      <c r="Q849" s="5"/>
      <c r="T849" s="5"/>
      <c r="U849" s="5"/>
      <c r="V849" s="5"/>
      <c r="W849" s="5"/>
      <c r="X849" s="5"/>
      <c r="Y849" s="5"/>
    </row>
    <row r="850" spans="2:25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P850" s="5"/>
      <c r="Q850" s="5"/>
      <c r="T850" s="5"/>
      <c r="U850" s="5"/>
      <c r="V850" s="5"/>
      <c r="W850" s="5"/>
      <c r="X850" s="5"/>
      <c r="Y850" s="5"/>
    </row>
    <row r="851" spans="2:25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P851" s="5"/>
      <c r="Q851" s="5"/>
      <c r="T851" s="5"/>
      <c r="U851" s="5"/>
      <c r="V851" s="5"/>
      <c r="W851" s="5"/>
      <c r="X851" s="5"/>
      <c r="Y851" s="5"/>
    </row>
    <row r="852" spans="2:25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P852" s="5"/>
      <c r="Q852" s="5"/>
      <c r="T852" s="5"/>
      <c r="U852" s="5"/>
      <c r="V852" s="5"/>
      <c r="W852" s="5"/>
      <c r="X852" s="5"/>
      <c r="Y852" s="5"/>
    </row>
    <row r="853" spans="2:25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P853" s="5"/>
      <c r="Q853" s="5"/>
      <c r="T853" s="5"/>
      <c r="U853" s="5"/>
      <c r="V853" s="5"/>
      <c r="W853" s="5"/>
      <c r="X853" s="5"/>
      <c r="Y853" s="5"/>
    </row>
    <row r="854" spans="2:25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P854" s="5"/>
      <c r="Q854" s="5"/>
      <c r="T854" s="5"/>
      <c r="U854" s="5"/>
      <c r="V854" s="5"/>
      <c r="W854" s="5"/>
      <c r="X854" s="5"/>
      <c r="Y854" s="5"/>
    </row>
    <row r="855" spans="2:25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P855" s="5"/>
      <c r="Q855" s="5"/>
      <c r="T855" s="5"/>
      <c r="U855" s="5"/>
      <c r="V855" s="5"/>
      <c r="W855" s="5"/>
      <c r="X855" s="5"/>
      <c r="Y855" s="5"/>
    </row>
    <row r="856" spans="2:25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P856" s="5"/>
      <c r="Q856" s="5"/>
      <c r="T856" s="5"/>
      <c r="U856" s="5"/>
      <c r="V856" s="5"/>
      <c r="W856" s="5"/>
      <c r="X856" s="5"/>
      <c r="Y856" s="5"/>
    </row>
    <row r="857" spans="2:25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P857" s="5"/>
      <c r="Q857" s="5"/>
      <c r="T857" s="5"/>
      <c r="U857" s="5"/>
      <c r="V857" s="5"/>
      <c r="W857" s="5"/>
      <c r="X857" s="5"/>
      <c r="Y857" s="5"/>
    </row>
    <row r="858" spans="2:25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P858" s="5"/>
      <c r="Q858" s="5"/>
      <c r="T858" s="5"/>
      <c r="U858" s="5"/>
      <c r="V858" s="5"/>
      <c r="W858" s="5"/>
      <c r="X858" s="5"/>
      <c r="Y858" s="5"/>
    </row>
    <row r="859" spans="2:25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P859" s="5"/>
      <c r="Q859" s="5"/>
      <c r="T859" s="5"/>
      <c r="U859" s="5"/>
      <c r="V859" s="5"/>
      <c r="W859" s="5"/>
      <c r="X859" s="5"/>
      <c r="Y859" s="5"/>
    </row>
    <row r="860" spans="2:25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P860" s="5"/>
      <c r="Q860" s="5"/>
      <c r="T860" s="5"/>
      <c r="U860" s="5"/>
      <c r="V860" s="5"/>
      <c r="W860" s="5"/>
      <c r="X860" s="5"/>
      <c r="Y860" s="5"/>
    </row>
    <row r="861" spans="2:25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P861" s="5"/>
      <c r="Q861" s="5"/>
      <c r="T861" s="5"/>
      <c r="U861" s="5"/>
      <c r="V861" s="5"/>
      <c r="W861" s="5"/>
      <c r="X861" s="5"/>
      <c r="Y861" s="5"/>
    </row>
    <row r="862" spans="2:25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P862" s="5"/>
      <c r="Q862" s="5"/>
      <c r="T862" s="5"/>
      <c r="U862" s="5"/>
      <c r="V862" s="5"/>
      <c r="W862" s="5"/>
      <c r="X862" s="5"/>
      <c r="Y862" s="5"/>
    </row>
    <row r="863" spans="2:25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P863" s="5"/>
      <c r="Q863" s="5"/>
      <c r="T863" s="5"/>
      <c r="U863" s="5"/>
      <c r="V863" s="5"/>
      <c r="W863" s="5"/>
      <c r="X863" s="5"/>
      <c r="Y863" s="5"/>
    </row>
  </sheetData>
  <sheetProtection/>
  <printOptions/>
  <pageMargins left="0.5" right="0.25" top="0.75" bottom="0.5" header="0" footer="0"/>
  <pageSetup fitToWidth="2" horizontalDpi="600" verticalDpi="600" orientation="landscape" scale="61" r:id="rId3"/>
  <headerFooter alignWithMargins="0">
    <oddHeader>&amp;RSTATEMENT AG-3
PAGE &amp;P OF &amp;N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27"/>
  <sheetViews>
    <sheetView showOutlineSymbols="0" zoomScale="75" zoomScaleNormal="75" workbookViewId="0" topLeftCell="A1">
      <selection activeCell="P153" sqref="P153"/>
    </sheetView>
  </sheetViews>
  <sheetFormatPr defaultColWidth="12.7109375" defaultRowHeight="12.75"/>
  <cols>
    <col min="1" max="1" width="4.28125" style="7" customWidth="1"/>
    <col min="2" max="2" width="6.00390625" style="2" customWidth="1"/>
    <col min="3" max="3" width="56.140625" style="2" customWidth="1"/>
    <col min="4" max="4" width="14.57421875" style="2" customWidth="1"/>
    <col min="5" max="5" width="15.421875" style="2" customWidth="1"/>
    <col min="6" max="6" width="14.421875" style="2" customWidth="1"/>
    <col min="7" max="7" width="17.00390625" style="2" customWidth="1"/>
    <col min="8" max="8" width="16.7109375" style="2" customWidth="1"/>
    <col min="9" max="9" width="3.8515625" style="2" customWidth="1"/>
    <col min="10" max="13" width="16.7109375" style="2" customWidth="1"/>
    <col min="14" max="14" width="4.140625" style="2" customWidth="1"/>
    <col min="15" max="15" width="15.28125" style="2" customWidth="1"/>
    <col min="16" max="16" width="15.8515625" style="2" customWidth="1"/>
    <col min="17" max="18" width="15.140625" style="2" customWidth="1"/>
    <col min="19" max="19" width="2.57421875" style="2" customWidth="1"/>
    <col min="20" max="20" width="18.00390625" style="23" hidden="1" customWidth="1"/>
    <col min="21" max="21" width="16.00390625" style="23" hidden="1" customWidth="1"/>
    <col min="22" max="23" width="16.8515625" style="23" hidden="1" customWidth="1"/>
    <col min="24" max="16384" width="12.7109375" style="23" customWidth="1"/>
  </cols>
  <sheetData>
    <row r="1" spans="3:23" ht="12.75">
      <c r="C1" s="20" t="s">
        <v>446</v>
      </c>
      <c r="D1" s="9" t="s">
        <v>24</v>
      </c>
      <c r="H1" s="1"/>
      <c r="I1" s="1"/>
      <c r="J1" s="1"/>
      <c r="K1" s="1"/>
      <c r="L1" s="1"/>
      <c r="M1" s="1"/>
      <c r="N1" s="1"/>
      <c r="V1" s="24"/>
      <c r="W1" s="24"/>
    </row>
    <row r="2" spans="3:23" ht="12.75">
      <c r="C2" s="20" t="s">
        <v>0</v>
      </c>
      <c r="H2" s="1"/>
      <c r="I2" s="1"/>
      <c r="J2" s="1"/>
      <c r="K2" s="1"/>
      <c r="L2" s="1"/>
      <c r="M2" s="1"/>
      <c r="N2" s="1"/>
      <c r="V2" s="24"/>
      <c r="W2" s="24"/>
    </row>
    <row r="3" ht="12.75">
      <c r="C3" s="20" t="s">
        <v>127</v>
      </c>
    </row>
    <row r="4" spans="8:14" ht="12.75">
      <c r="H4" s="70" t="s">
        <v>1</v>
      </c>
      <c r="I4" s="8"/>
      <c r="J4" s="8"/>
      <c r="K4" s="8"/>
      <c r="L4" s="8"/>
      <c r="M4" s="8"/>
      <c r="N4" s="8"/>
    </row>
    <row r="5" ht="12.75">
      <c r="C5" s="9"/>
    </row>
    <row r="8" spans="3:23" ht="12.75"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/>
      <c r="J8" s="4" t="s">
        <v>8</v>
      </c>
      <c r="K8" s="4" t="s">
        <v>9</v>
      </c>
      <c r="L8" s="4" t="s">
        <v>10</v>
      </c>
      <c r="M8" s="4" t="s">
        <v>11</v>
      </c>
      <c r="N8" s="4"/>
      <c r="O8" s="4" t="s">
        <v>60</v>
      </c>
      <c r="P8" s="4" t="s">
        <v>61</v>
      </c>
      <c r="Q8" s="4" t="s">
        <v>62</v>
      </c>
      <c r="R8" s="4" t="s">
        <v>63</v>
      </c>
      <c r="T8" s="4" t="s">
        <v>64</v>
      </c>
      <c r="U8" s="4" t="s">
        <v>224</v>
      </c>
      <c r="V8" s="4" t="s">
        <v>225</v>
      </c>
      <c r="W8" s="4" t="s">
        <v>226</v>
      </c>
    </row>
    <row r="10" spans="4:23" ht="12.75">
      <c r="D10" s="10" t="s">
        <v>12</v>
      </c>
      <c r="E10" s="10"/>
      <c r="F10" s="11" t="s">
        <v>13</v>
      </c>
      <c r="G10" s="10"/>
      <c r="H10" s="12" t="s">
        <v>14</v>
      </c>
      <c r="I10" s="12"/>
      <c r="J10" s="13" t="s">
        <v>66</v>
      </c>
      <c r="K10" s="10"/>
      <c r="L10" s="10"/>
      <c r="M10" s="10"/>
      <c r="N10" s="12"/>
      <c r="O10" s="13" t="s">
        <v>129</v>
      </c>
      <c r="P10" s="10"/>
      <c r="Q10" s="10"/>
      <c r="R10" s="10"/>
      <c r="T10" s="27" t="s">
        <v>123</v>
      </c>
      <c r="U10" s="26"/>
      <c r="V10" s="26"/>
      <c r="W10" s="26"/>
    </row>
    <row r="11" spans="4:23" ht="12.75">
      <c r="D11" s="14"/>
      <c r="E11" s="14"/>
      <c r="H11" s="12" t="s">
        <v>15</v>
      </c>
      <c r="I11" s="12"/>
      <c r="J11" s="14"/>
      <c r="K11" s="14"/>
      <c r="L11" s="14"/>
      <c r="M11" s="14"/>
      <c r="N11" s="12"/>
      <c r="O11" s="14"/>
      <c r="P11" s="14"/>
      <c r="Q11" s="14"/>
      <c r="R11" s="14"/>
      <c r="T11" s="28"/>
      <c r="U11" s="28"/>
      <c r="V11" s="28"/>
      <c r="W11" s="28"/>
    </row>
    <row r="12" spans="2:14" ht="12.75">
      <c r="B12" s="71" t="s">
        <v>447</v>
      </c>
      <c r="D12" s="12" t="s">
        <v>16</v>
      </c>
      <c r="E12" s="12" t="s">
        <v>16</v>
      </c>
      <c r="F12" s="12" t="s">
        <v>16</v>
      </c>
      <c r="G12" s="12" t="s">
        <v>16</v>
      </c>
      <c r="H12" s="12" t="s">
        <v>17</v>
      </c>
      <c r="I12" s="12"/>
      <c r="N12" s="12"/>
    </row>
    <row r="13" spans="2:23" ht="12.75">
      <c r="B13" s="72" t="s">
        <v>448</v>
      </c>
      <c r="C13" s="4" t="s">
        <v>18</v>
      </c>
      <c r="D13" s="4" t="s">
        <v>128</v>
      </c>
      <c r="E13" s="4" t="s">
        <v>122</v>
      </c>
      <c r="F13" s="4" t="s">
        <v>128</v>
      </c>
      <c r="G13" s="4" t="s">
        <v>122</v>
      </c>
      <c r="H13" s="4" t="s">
        <v>19</v>
      </c>
      <c r="I13" s="4"/>
      <c r="J13" s="4" t="s">
        <v>20</v>
      </c>
      <c r="K13" s="4" t="s">
        <v>21</v>
      </c>
      <c r="L13" s="4" t="s">
        <v>22</v>
      </c>
      <c r="M13" s="4" t="s">
        <v>449</v>
      </c>
      <c r="N13" s="4"/>
      <c r="O13" s="4" t="s">
        <v>20</v>
      </c>
      <c r="P13" s="4" t="s">
        <v>21</v>
      </c>
      <c r="Q13" s="4" t="s">
        <v>22</v>
      </c>
      <c r="R13" s="4" t="s">
        <v>449</v>
      </c>
      <c r="T13" s="25" t="s">
        <v>20</v>
      </c>
      <c r="U13" s="25" t="s">
        <v>21</v>
      </c>
      <c r="V13" s="25" t="s">
        <v>22</v>
      </c>
      <c r="W13" s="25" t="s">
        <v>449</v>
      </c>
    </row>
    <row r="14" ht="12.75">
      <c r="D14" s="73" t="s">
        <v>24</v>
      </c>
    </row>
    <row r="15" spans="3:23" ht="12.75">
      <c r="C15" s="3" t="s">
        <v>23</v>
      </c>
      <c r="D15" s="5"/>
      <c r="E15" s="5"/>
      <c r="F15" s="5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9"/>
      <c r="U15" s="29"/>
      <c r="V15" s="29"/>
      <c r="W15" s="29"/>
    </row>
    <row r="16" spans="3:23" ht="12.75"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9"/>
      <c r="U16" s="29"/>
      <c r="V16" s="29"/>
      <c r="W16" s="29"/>
    </row>
    <row r="17" spans="1:24" ht="12.75">
      <c r="A17" s="16">
        <v>1</v>
      </c>
      <c r="B17" s="3" t="s">
        <v>450</v>
      </c>
      <c r="C17" s="74" t="s">
        <v>451</v>
      </c>
      <c r="D17" s="5">
        <f>SUM(O17:R17)</f>
        <v>294193805.15</v>
      </c>
      <c r="E17" s="5">
        <f>SUM(T17:W17)</f>
        <v>242007144.4</v>
      </c>
      <c r="F17" s="5"/>
      <c r="G17" s="5"/>
      <c r="H17" s="5">
        <f>ROUND(SUM(D17:G17)/2,0)</f>
        <v>268100475</v>
      </c>
      <c r="I17" s="5"/>
      <c r="J17" s="5">
        <f aca="true" t="shared" si="0" ref="J17:M18">(+O17+T17)/2</f>
        <v>268100474.77499998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/>
      <c r="O17" s="5">
        <v>294193805.15</v>
      </c>
      <c r="P17" s="5">
        <v>0</v>
      </c>
      <c r="Q17" s="5">
        <v>0</v>
      </c>
      <c r="R17" s="5">
        <v>0</v>
      </c>
      <c r="S17" s="5"/>
      <c r="T17" s="5">
        <f>208929505.4+33077639</f>
        <v>242007144.4</v>
      </c>
      <c r="U17" s="5">
        <v>0</v>
      </c>
      <c r="V17" s="5">
        <v>0</v>
      </c>
      <c r="W17" s="29">
        <v>0</v>
      </c>
      <c r="X17" s="29"/>
    </row>
    <row r="18" spans="1:23" ht="12.75">
      <c r="A18" s="16">
        <f aca="true" t="shared" si="1" ref="A18:A49">A17+1</f>
        <v>2</v>
      </c>
      <c r="B18" s="3" t="s">
        <v>452</v>
      </c>
      <c r="C18" s="37" t="s">
        <v>453</v>
      </c>
      <c r="D18" s="5">
        <f>SUM(O18:R18)</f>
        <v>59266252.55</v>
      </c>
      <c r="E18" s="5">
        <f>SUM(T18:W18)</f>
        <v>59664079.7</v>
      </c>
      <c r="F18" s="5"/>
      <c r="G18" s="5"/>
      <c r="H18" s="5">
        <f>ROUND(SUM(D18:G18)/2,0)</f>
        <v>59465166</v>
      </c>
      <c r="I18" s="5"/>
      <c r="J18" s="5">
        <f t="shared" si="0"/>
        <v>59465166.125</v>
      </c>
      <c r="K18" s="5">
        <f t="shared" si="0"/>
        <v>0</v>
      </c>
      <c r="L18" s="5">
        <f t="shared" si="0"/>
        <v>0</v>
      </c>
      <c r="M18" s="5">
        <f t="shared" si="0"/>
        <v>0</v>
      </c>
      <c r="N18" s="5"/>
      <c r="O18" s="5">
        <v>59266252.55</v>
      </c>
      <c r="P18" s="5">
        <v>0</v>
      </c>
      <c r="Q18" s="5">
        <v>0</v>
      </c>
      <c r="R18" s="5">
        <v>0</v>
      </c>
      <c r="S18" s="5"/>
      <c r="T18" s="5">
        <v>59664079.7</v>
      </c>
      <c r="U18" s="5">
        <v>0</v>
      </c>
      <c r="V18" s="5">
        <v>0</v>
      </c>
      <c r="W18" s="29">
        <v>0</v>
      </c>
    </row>
    <row r="19" spans="1:23" ht="12.75">
      <c r="A19" s="16">
        <f t="shared" si="1"/>
        <v>3</v>
      </c>
      <c r="C19" s="37" t="s">
        <v>25</v>
      </c>
      <c r="D19" s="5">
        <v>0</v>
      </c>
      <c r="E19" s="5">
        <v>0</v>
      </c>
      <c r="F19" s="5">
        <f aca="true" t="shared" si="2" ref="F19:G21">-D19</f>
        <v>0</v>
      </c>
      <c r="G19" s="5">
        <f t="shared" si="2"/>
        <v>0</v>
      </c>
      <c r="H19" s="5">
        <f>ROUND(SUM(D19:G19)/2,0)</f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16">
        <f t="shared" si="1"/>
        <v>4</v>
      </c>
      <c r="C20" s="37" t="s">
        <v>26</v>
      </c>
      <c r="D20" s="5">
        <v>0</v>
      </c>
      <c r="E20" s="5">
        <v>0</v>
      </c>
      <c r="F20" s="5">
        <f t="shared" si="2"/>
        <v>0</v>
      </c>
      <c r="G20" s="5">
        <f t="shared" si="2"/>
        <v>0</v>
      </c>
      <c r="H20" s="5">
        <f>ROUND(SUM(D20:G20)/2,0)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32" ht="12.75">
      <c r="A21" s="16">
        <f t="shared" si="1"/>
        <v>5</v>
      </c>
      <c r="C21" s="37" t="s">
        <v>27</v>
      </c>
      <c r="D21" s="5">
        <v>0</v>
      </c>
      <c r="E21" s="5">
        <v>0</v>
      </c>
      <c r="F21" s="5">
        <f t="shared" si="2"/>
        <v>0</v>
      </c>
      <c r="G21" s="5">
        <f t="shared" si="2"/>
        <v>0</v>
      </c>
      <c r="H21" s="5">
        <f>ROUND(SUM(D21:G21)/2,0)</f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2.75">
      <c r="A22" s="16">
        <f t="shared" si="1"/>
        <v>6</v>
      </c>
      <c r="C22" s="3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23" ht="13.5" thickBot="1">
      <c r="A23" s="16">
        <f t="shared" si="1"/>
        <v>7</v>
      </c>
      <c r="B23" s="3"/>
      <c r="C23" s="3" t="s">
        <v>28</v>
      </c>
      <c r="D23" s="17">
        <f>SUM(D17:D22)</f>
        <v>353460057.7</v>
      </c>
      <c r="E23" s="17">
        <f>SUM(E17:E22)</f>
        <v>301671224.1</v>
      </c>
      <c r="F23" s="17">
        <f>SUM(F17:F22)</f>
        <v>0</v>
      </c>
      <c r="G23" s="17">
        <f>SUM(G17:G22)</f>
        <v>0</v>
      </c>
      <c r="H23" s="17">
        <f>SUM(H17:H22)</f>
        <v>327565641</v>
      </c>
      <c r="I23" s="17"/>
      <c r="J23" s="17">
        <f>SUM(J17:J22)</f>
        <v>327565640.9</v>
      </c>
      <c r="K23" s="17">
        <f>SUM(K17:K22)</f>
        <v>0</v>
      </c>
      <c r="L23" s="17">
        <f>SUM(L17:L22)</f>
        <v>0</v>
      </c>
      <c r="M23" s="17">
        <f>SUM(M17:M22)</f>
        <v>0</v>
      </c>
      <c r="N23" s="17"/>
      <c r="O23" s="17">
        <f>SUM(O17:O22)</f>
        <v>353460057.7</v>
      </c>
      <c r="P23" s="17">
        <f>SUM(P17:P22)</f>
        <v>0</v>
      </c>
      <c r="Q23" s="17">
        <f>SUM(Q17:Q22)</f>
        <v>0</v>
      </c>
      <c r="R23" s="17">
        <f>SUM(R17:R22)</f>
        <v>0</v>
      </c>
      <c r="S23" s="5"/>
      <c r="T23" s="35">
        <f>SUM(T17:T22)</f>
        <v>301671224.1</v>
      </c>
      <c r="U23" s="35">
        <f>SUM(U17:U22)</f>
        <v>0</v>
      </c>
      <c r="V23" s="35">
        <f>SUM(V17:V22)</f>
        <v>0</v>
      </c>
      <c r="W23" s="35">
        <f>SUM(W17:W22)</f>
        <v>0</v>
      </c>
    </row>
    <row r="24" spans="1:23" ht="13.5" thickTop="1">
      <c r="A24" s="16">
        <f t="shared" si="1"/>
        <v>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  <c r="T24" s="31"/>
      <c r="U24" s="31"/>
      <c r="V24" s="31"/>
      <c r="W24" s="31"/>
    </row>
    <row r="25" spans="1:23" ht="12.75">
      <c r="A25" s="16">
        <f t="shared" si="1"/>
        <v>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9"/>
      <c r="U25" s="29"/>
      <c r="V25" s="29"/>
      <c r="W25" s="29"/>
    </row>
    <row r="26" spans="1:23" ht="12.75">
      <c r="A26" s="16">
        <f t="shared" si="1"/>
        <v>10</v>
      </c>
      <c r="C26" s="1" t="s">
        <v>29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75" t="s">
        <v>24</v>
      </c>
      <c r="P26" s="5"/>
      <c r="Q26" s="75" t="s">
        <v>24</v>
      </c>
      <c r="R26" s="75"/>
      <c r="S26" s="5"/>
      <c r="T26" s="65" t="s">
        <v>24</v>
      </c>
      <c r="U26" s="29"/>
      <c r="V26" s="65" t="s">
        <v>24</v>
      </c>
      <c r="W26" s="65"/>
    </row>
    <row r="27" spans="1:23" ht="12.75">
      <c r="A27" s="16">
        <f t="shared" si="1"/>
        <v>11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9"/>
      <c r="U27" s="29"/>
      <c r="V27" s="29"/>
      <c r="W27" s="29"/>
    </row>
    <row r="28" spans="1:23" ht="12.75">
      <c r="A28" s="16">
        <f t="shared" si="1"/>
        <v>12</v>
      </c>
      <c r="B28" s="3" t="s">
        <v>454</v>
      </c>
      <c r="C28" s="37" t="s">
        <v>393</v>
      </c>
      <c r="D28" s="5">
        <f aca="true" t="shared" si="3" ref="D28:D58">SUM(O28:R28)</f>
        <v>-64.75</v>
      </c>
      <c r="E28" s="5">
        <f aca="true" t="shared" si="4" ref="E28:E58">SUM(T28:W28)</f>
        <v>-64.75</v>
      </c>
      <c r="F28" s="5"/>
      <c r="G28" s="5"/>
      <c r="H28" s="5">
        <f aca="true" t="shared" si="5" ref="H28:H61">ROUND(SUM(D28:G28)/2,0)</f>
        <v>-65</v>
      </c>
      <c r="I28" s="5"/>
      <c r="J28" s="5">
        <f aca="true" t="shared" si="6" ref="J28:J58">(+O28+T28)/2</f>
        <v>0</v>
      </c>
      <c r="K28" s="5">
        <f aca="true" t="shared" si="7" ref="K28:K58">(+P28+U28)/2</f>
        <v>-23.85</v>
      </c>
      <c r="L28" s="5">
        <f aca="true" t="shared" si="8" ref="L28:L58">(+Q28+V28)/2</f>
        <v>-40.9</v>
      </c>
      <c r="M28" s="5">
        <f aca="true" t="shared" si="9" ref="M28:M58">(+R28+W28)/2</f>
        <v>0</v>
      </c>
      <c r="N28" s="5"/>
      <c r="O28" s="5">
        <v>0</v>
      </c>
      <c r="P28" s="5">
        <v>-23.85</v>
      </c>
      <c r="Q28" s="5">
        <v>-40.9</v>
      </c>
      <c r="R28" s="5">
        <v>0</v>
      </c>
      <c r="S28" s="5"/>
      <c r="T28" s="22">
        <v>0</v>
      </c>
      <c r="U28" s="5">
        <v>-23.85</v>
      </c>
      <c r="V28" s="22">
        <v>-40.9</v>
      </c>
      <c r="W28" s="22">
        <v>0</v>
      </c>
    </row>
    <row r="29" spans="1:23" ht="12.75">
      <c r="A29" s="16">
        <f t="shared" si="1"/>
        <v>13</v>
      </c>
      <c r="B29" s="3" t="s">
        <v>24</v>
      </c>
      <c r="C29" s="37" t="s">
        <v>437</v>
      </c>
      <c r="D29" s="5">
        <f t="shared" si="3"/>
        <v>975973266.7600002</v>
      </c>
      <c r="E29" s="5">
        <f t="shared" si="4"/>
        <v>858610017.3299999</v>
      </c>
      <c r="F29" s="6" t="s">
        <v>24</v>
      </c>
      <c r="G29" s="5"/>
      <c r="H29" s="5">
        <f t="shared" si="5"/>
        <v>917291642</v>
      </c>
      <c r="I29" s="5"/>
      <c r="J29" s="5">
        <f t="shared" si="6"/>
        <v>471023196.165</v>
      </c>
      <c r="K29" s="5">
        <f t="shared" si="7"/>
        <v>158657261.055</v>
      </c>
      <c r="L29" s="5">
        <f t="shared" si="8"/>
        <v>284687139.86</v>
      </c>
      <c r="M29" s="5">
        <f t="shared" si="9"/>
        <v>2924044.965</v>
      </c>
      <c r="N29" s="5"/>
      <c r="O29" s="5">
        <f>1+26.35+0.36-131.13-0.74+0.55+226633.15-226633+377236934.95+62353752.3+55433970.05-763321.6-0.07+0.04</f>
        <v>494261232.21000004</v>
      </c>
      <c r="P29" s="5">
        <f>-179.77+989+94.61+0.26+4712.62+544.73+8111.94+491.66+12224.41+169344802.1+740902.32+6571.05-4891</f>
        <v>170114373.93</v>
      </c>
      <c r="Q29" s="5">
        <f>6989.77-4006+675.98+0.01+26308.8-2468.43+68512.38+0.19+2316.03+54438.99+308306559.3+48900.38</f>
        <v>308508227.40000004</v>
      </c>
      <c r="R29" s="5">
        <f>-1031139.53+4120572.75</f>
        <v>3089433.2199999997</v>
      </c>
      <c r="S29" s="5"/>
      <c r="T29" s="22">
        <f>2+27.4+6-0.26-0.58-0.5+226612.15-226633+211653146.35+862341+55920511.95-1028572.6+180377720.21</f>
        <v>447785160.12</v>
      </c>
      <c r="U29" s="5">
        <f>62.05+91.46+0.26+4712.52+544.73+8113.93+489.66-64.39+12224+92511750.1+493459+54168764.86</f>
        <v>147200148.18</v>
      </c>
      <c r="V29" s="22">
        <f>247.04+715.08+0.01+26308.8-2468.43+68512.45+0.19+2736.03+54687.99+125058133.1-4412+135661592.06</f>
        <v>260866052.32</v>
      </c>
      <c r="W29" s="22">
        <f>3562814.84-804158.13</f>
        <v>2758656.71</v>
      </c>
    </row>
    <row r="30" spans="1:23" ht="12.75">
      <c r="A30" s="16">
        <f t="shared" si="1"/>
        <v>14</v>
      </c>
      <c r="B30" s="3" t="s">
        <v>455</v>
      </c>
      <c r="C30" s="3" t="s">
        <v>236</v>
      </c>
      <c r="D30" s="5">
        <f t="shared" si="3"/>
        <v>6548234.4</v>
      </c>
      <c r="E30" s="5">
        <f t="shared" si="4"/>
        <v>6548234.4</v>
      </c>
      <c r="F30" s="5"/>
      <c r="G30" s="5"/>
      <c r="H30" s="5">
        <f t="shared" si="5"/>
        <v>6548234</v>
      </c>
      <c r="I30" s="5"/>
      <c r="J30" s="5">
        <f t="shared" si="6"/>
        <v>3315951.45</v>
      </c>
      <c r="K30" s="5">
        <f t="shared" si="7"/>
        <v>1230483.3</v>
      </c>
      <c r="L30" s="5">
        <f t="shared" si="8"/>
        <v>2001799.65</v>
      </c>
      <c r="M30" s="5">
        <f t="shared" si="9"/>
        <v>0</v>
      </c>
      <c r="N30" s="5"/>
      <c r="O30" s="5">
        <v>3315951.45</v>
      </c>
      <c r="P30" s="5">
        <v>1230483.3</v>
      </c>
      <c r="Q30" s="5">
        <v>2001799.65</v>
      </c>
      <c r="R30" s="5">
        <v>0</v>
      </c>
      <c r="S30" s="5"/>
      <c r="T30" s="22">
        <f>2272041.4+1043910.05</f>
        <v>3315951.45</v>
      </c>
      <c r="U30" s="29">
        <f>832655.3+397828</f>
        <v>1230483.3</v>
      </c>
      <c r="V30" s="22">
        <f>731260.7+1270538.95</f>
        <v>2001799.65</v>
      </c>
      <c r="W30" s="22">
        <v>0</v>
      </c>
    </row>
    <row r="31" spans="1:23" ht="12.75">
      <c r="A31" s="16">
        <f t="shared" si="1"/>
        <v>15</v>
      </c>
      <c r="B31" s="3" t="s">
        <v>456</v>
      </c>
      <c r="C31" s="3" t="s">
        <v>457</v>
      </c>
      <c r="D31" s="5">
        <f t="shared" si="3"/>
        <v>2349355.42</v>
      </c>
      <c r="E31" s="5">
        <f t="shared" si="4"/>
        <v>2808095.47</v>
      </c>
      <c r="F31" s="5"/>
      <c r="G31" s="5"/>
      <c r="H31" s="5">
        <f t="shared" si="5"/>
        <v>2578725</v>
      </c>
      <c r="I31" s="5"/>
      <c r="J31" s="5">
        <f t="shared" si="6"/>
        <v>1188759.4700000002</v>
      </c>
      <c r="K31" s="5">
        <f t="shared" si="7"/>
        <v>392042.455</v>
      </c>
      <c r="L31" s="5">
        <f t="shared" si="8"/>
        <v>997923.52</v>
      </c>
      <c r="M31" s="5">
        <f t="shared" si="9"/>
        <v>0</v>
      </c>
      <c r="N31" s="5"/>
      <c r="O31" s="5">
        <v>1090383.07</v>
      </c>
      <c r="P31" s="5">
        <v>356755.98</v>
      </c>
      <c r="Q31" s="5">
        <v>902216.37</v>
      </c>
      <c r="R31" s="5">
        <v>0</v>
      </c>
      <c r="S31" s="5"/>
      <c r="T31" s="22">
        <f>586827.92+700307.95</f>
        <v>1287135.87</v>
      </c>
      <c r="U31" s="29">
        <f>140103.9+287225.03</f>
        <v>427328.93000000005</v>
      </c>
      <c r="V31" s="22">
        <f>88979.42+1004651.25</f>
        <v>1093630.67</v>
      </c>
      <c r="W31" s="22">
        <v>0</v>
      </c>
    </row>
    <row r="32" spans="1:23" ht="12.75">
      <c r="A32" s="16">
        <f t="shared" si="1"/>
        <v>16</v>
      </c>
      <c r="B32" s="3" t="s">
        <v>458</v>
      </c>
      <c r="C32" s="3" t="s">
        <v>459</v>
      </c>
      <c r="D32" s="5">
        <f t="shared" si="3"/>
        <v>1439391.11</v>
      </c>
      <c r="E32" s="5">
        <f t="shared" si="4"/>
        <v>1678151.31</v>
      </c>
      <c r="F32" s="5"/>
      <c r="G32" s="5"/>
      <c r="H32" s="5">
        <f t="shared" si="5"/>
        <v>1558771</v>
      </c>
      <c r="I32" s="5"/>
      <c r="J32" s="5">
        <f t="shared" si="6"/>
        <v>0</v>
      </c>
      <c r="K32" s="5">
        <f t="shared" si="7"/>
        <v>0</v>
      </c>
      <c r="L32" s="5">
        <f t="shared" si="8"/>
        <v>1558771.21</v>
      </c>
      <c r="M32" s="5">
        <f t="shared" si="9"/>
        <v>0</v>
      </c>
      <c r="N32" s="5"/>
      <c r="O32" s="5">
        <v>0</v>
      </c>
      <c r="P32" s="5">
        <v>0</v>
      </c>
      <c r="Q32" s="5">
        <v>1439391.11</v>
      </c>
      <c r="R32" s="5">
        <v>0</v>
      </c>
      <c r="S32" s="5"/>
      <c r="T32" s="22">
        <v>0</v>
      </c>
      <c r="U32" s="29">
        <v>0</v>
      </c>
      <c r="V32" s="22">
        <f>541098.23+1137053.08</f>
        <v>1678151.31</v>
      </c>
      <c r="W32" s="22">
        <v>0</v>
      </c>
    </row>
    <row r="33" spans="1:23" ht="12.75">
      <c r="A33" s="16">
        <f t="shared" si="1"/>
        <v>17</v>
      </c>
      <c r="B33" s="3" t="s">
        <v>460</v>
      </c>
      <c r="C33" s="3" t="s">
        <v>461</v>
      </c>
      <c r="D33" s="5">
        <f t="shared" si="3"/>
        <v>377529.2</v>
      </c>
      <c r="E33" s="5">
        <f t="shared" si="4"/>
        <v>404445.8</v>
      </c>
      <c r="F33" s="5"/>
      <c r="G33" s="5"/>
      <c r="H33" s="5">
        <f t="shared" si="5"/>
        <v>390988</v>
      </c>
      <c r="I33" s="5"/>
      <c r="J33" s="5">
        <f t="shared" si="6"/>
        <v>0</v>
      </c>
      <c r="K33" s="5">
        <f t="shared" si="7"/>
        <v>390987.5</v>
      </c>
      <c r="L33" s="5">
        <f t="shared" si="8"/>
        <v>0</v>
      </c>
      <c r="M33" s="5">
        <f t="shared" si="9"/>
        <v>0</v>
      </c>
      <c r="N33" s="5"/>
      <c r="O33" s="5">
        <v>0</v>
      </c>
      <c r="P33" s="5">
        <v>377529.2</v>
      </c>
      <c r="Q33" s="5">
        <v>0</v>
      </c>
      <c r="R33" s="5">
        <v>0</v>
      </c>
      <c r="S33" s="5"/>
      <c r="T33" s="22">
        <v>0</v>
      </c>
      <c r="U33" s="29">
        <f>285144.72+119301.08</f>
        <v>404445.8</v>
      </c>
      <c r="V33" s="22">
        <v>0</v>
      </c>
      <c r="W33" s="22">
        <v>0</v>
      </c>
    </row>
    <row r="34" spans="1:23" ht="12.75">
      <c r="A34" s="16">
        <f t="shared" si="1"/>
        <v>18</v>
      </c>
      <c r="B34" s="3" t="s">
        <v>462</v>
      </c>
      <c r="C34" s="3" t="s">
        <v>106</v>
      </c>
      <c r="D34" s="5">
        <f t="shared" si="3"/>
        <v>7082424.649999999</v>
      </c>
      <c r="E34" s="5">
        <f t="shared" si="4"/>
        <v>6307698.25</v>
      </c>
      <c r="F34" s="5"/>
      <c r="G34" s="5"/>
      <c r="H34" s="5">
        <f t="shared" si="5"/>
        <v>6695061</v>
      </c>
      <c r="I34" s="5"/>
      <c r="J34" s="5">
        <f t="shared" si="6"/>
        <v>6345301.55</v>
      </c>
      <c r="K34" s="5">
        <f t="shared" si="7"/>
        <v>0</v>
      </c>
      <c r="L34" s="5">
        <f t="shared" si="8"/>
        <v>349759.9</v>
      </c>
      <c r="M34" s="5">
        <f t="shared" si="9"/>
        <v>0</v>
      </c>
      <c r="N34" s="5"/>
      <c r="O34" s="5">
        <v>6613218.85</v>
      </c>
      <c r="P34" s="5">
        <v>0</v>
      </c>
      <c r="Q34" s="5">
        <v>469205.8</v>
      </c>
      <c r="R34" s="5">
        <v>0</v>
      </c>
      <c r="S34" s="5"/>
      <c r="T34" s="22">
        <f>4118918.3+1958465.95</f>
        <v>6077384.25</v>
      </c>
      <c r="U34" s="29">
        <v>0</v>
      </c>
      <c r="V34" s="22">
        <v>230314</v>
      </c>
      <c r="W34" s="22">
        <v>0</v>
      </c>
    </row>
    <row r="35" spans="1:23" ht="12.75">
      <c r="A35" s="16">
        <f t="shared" si="1"/>
        <v>19</v>
      </c>
      <c r="B35" s="3" t="s">
        <v>462</v>
      </c>
      <c r="C35" s="3" t="s">
        <v>463</v>
      </c>
      <c r="D35" s="5">
        <f t="shared" si="3"/>
        <v>-452663.92</v>
      </c>
      <c r="E35" s="5">
        <f t="shared" si="4"/>
        <v>-633263.92</v>
      </c>
      <c r="F35" s="5"/>
      <c r="G35" s="5"/>
      <c r="H35" s="5">
        <f t="shared" si="5"/>
        <v>-542964</v>
      </c>
      <c r="I35" s="5"/>
      <c r="J35" s="5">
        <f t="shared" si="6"/>
        <v>-542963.92</v>
      </c>
      <c r="K35" s="5">
        <f t="shared" si="7"/>
        <v>0</v>
      </c>
      <c r="L35" s="5">
        <f t="shared" si="8"/>
        <v>0</v>
      </c>
      <c r="M35" s="5">
        <f t="shared" si="9"/>
        <v>0</v>
      </c>
      <c r="N35" s="5"/>
      <c r="O35" s="5">
        <v>-452663.92</v>
      </c>
      <c r="P35" s="5">
        <v>0</v>
      </c>
      <c r="Q35" s="5">
        <v>0</v>
      </c>
      <c r="R35" s="5">
        <v>0</v>
      </c>
      <c r="S35" s="5"/>
      <c r="T35" s="22">
        <v>-633263.92</v>
      </c>
      <c r="U35" s="29">
        <v>0</v>
      </c>
      <c r="V35" s="22">
        <v>0</v>
      </c>
      <c r="W35" s="22">
        <v>0</v>
      </c>
    </row>
    <row r="36" spans="1:23" ht="12.75">
      <c r="A36" s="16">
        <f t="shared" si="1"/>
        <v>20</v>
      </c>
      <c r="B36" s="3" t="s">
        <v>464</v>
      </c>
      <c r="C36" s="37" t="s">
        <v>240</v>
      </c>
      <c r="D36" s="5">
        <f t="shared" si="3"/>
        <v>36544944.37</v>
      </c>
      <c r="E36" s="5">
        <f t="shared" si="4"/>
        <v>26711747.790000003</v>
      </c>
      <c r="F36" s="5"/>
      <c r="G36" s="5"/>
      <c r="H36" s="5">
        <f t="shared" si="5"/>
        <v>31628346</v>
      </c>
      <c r="I36" s="5"/>
      <c r="J36" s="5">
        <f t="shared" si="6"/>
        <v>31233301.935000002</v>
      </c>
      <c r="K36" s="5">
        <f t="shared" si="7"/>
        <v>7441.545</v>
      </c>
      <c r="L36" s="5">
        <f t="shared" si="8"/>
        <v>387602.6</v>
      </c>
      <c r="M36" s="5">
        <f t="shared" si="9"/>
        <v>0</v>
      </c>
      <c r="N36" s="5"/>
      <c r="O36" s="5">
        <v>36137069.17</v>
      </c>
      <c r="P36" s="5">
        <v>7726.73</v>
      </c>
      <c r="Q36" s="5">
        <v>400148.47</v>
      </c>
      <c r="R36" s="5">
        <v>0</v>
      </c>
      <c r="S36" s="5"/>
      <c r="T36" s="21">
        <f>16788669.92+9540864.78</f>
        <v>26329534.700000003</v>
      </c>
      <c r="U36" s="21">
        <v>7156.36</v>
      </c>
      <c r="V36" s="21">
        <f>194995.97+180060.76</f>
        <v>375056.73</v>
      </c>
      <c r="W36" s="21">
        <v>0</v>
      </c>
    </row>
    <row r="37" spans="1:23" ht="12.75">
      <c r="A37" s="16">
        <f t="shared" si="1"/>
        <v>21</v>
      </c>
      <c r="B37" s="3" t="s">
        <v>465</v>
      </c>
      <c r="C37" s="37" t="s">
        <v>466</v>
      </c>
      <c r="D37" s="5">
        <f t="shared" si="3"/>
        <v>11678420.139999986</v>
      </c>
      <c r="E37" s="5">
        <f t="shared" si="4"/>
        <v>45325852.039999984</v>
      </c>
      <c r="F37" s="5"/>
      <c r="G37" s="5"/>
      <c r="H37" s="5">
        <f t="shared" si="5"/>
        <v>28502136</v>
      </c>
      <c r="I37" s="5"/>
      <c r="J37" s="5">
        <f t="shared" si="6"/>
        <v>28502136.089999985</v>
      </c>
      <c r="K37" s="5">
        <f t="shared" si="7"/>
        <v>0</v>
      </c>
      <c r="L37" s="5">
        <f t="shared" si="8"/>
        <v>0</v>
      </c>
      <c r="M37" s="5">
        <f t="shared" si="9"/>
        <v>0</v>
      </c>
      <c r="N37" s="5"/>
      <c r="O37" s="5">
        <f>283955889.55-272277469.41</f>
        <v>11678420.139999986</v>
      </c>
      <c r="P37" s="5">
        <v>0</v>
      </c>
      <c r="Q37" s="5">
        <v>0</v>
      </c>
      <c r="R37" s="5">
        <v>0</v>
      </c>
      <c r="S37" s="5"/>
      <c r="T37" s="22">
        <f>173533650.95-184383449.93+56175651.02</f>
        <v>45325852.039999984</v>
      </c>
      <c r="U37" s="5">
        <v>0</v>
      </c>
      <c r="V37" s="22">
        <v>0</v>
      </c>
      <c r="W37" s="22">
        <v>0</v>
      </c>
    </row>
    <row r="38" spans="1:23" ht="12.75">
      <c r="A38" s="16">
        <f t="shared" si="1"/>
        <v>22</v>
      </c>
      <c r="B38" s="3" t="s">
        <v>467</v>
      </c>
      <c r="C38" s="74" t="s">
        <v>107</v>
      </c>
      <c r="D38" s="5">
        <f t="shared" si="3"/>
        <v>81826936.50999999</v>
      </c>
      <c r="E38" s="5">
        <f t="shared" si="4"/>
        <v>80032354.69999999</v>
      </c>
      <c r="F38" s="5"/>
      <c r="G38" s="5"/>
      <c r="H38" s="5">
        <f t="shared" si="5"/>
        <v>80929646</v>
      </c>
      <c r="I38" s="5"/>
      <c r="J38" s="5">
        <f t="shared" si="6"/>
        <v>41508791.349999994</v>
      </c>
      <c r="K38" s="5">
        <f t="shared" si="7"/>
        <v>8149668.574999999</v>
      </c>
      <c r="L38" s="5">
        <f t="shared" si="8"/>
        <v>31639894.395</v>
      </c>
      <c r="M38" s="5">
        <f t="shared" si="9"/>
        <v>-368708.715</v>
      </c>
      <c r="N38" s="5"/>
      <c r="O38" s="5">
        <v>41806495.4</v>
      </c>
      <c r="P38" s="5">
        <f>12201859.6-4119344</f>
        <v>8082515.6</v>
      </c>
      <c r="Q38" s="5">
        <f>44069557.79-11371748</f>
        <v>32697809.79</v>
      </c>
      <c r="R38" s="5">
        <v>-759884.28</v>
      </c>
      <c r="S38" s="5"/>
      <c r="T38" s="22">
        <v>41211087.3</v>
      </c>
      <c r="U38" s="5">
        <f>7863967.8-2636346+2989199.75</f>
        <v>8216821.55</v>
      </c>
      <c r="V38" s="22">
        <f>25031115.05-5939106+11489969.95</f>
        <v>30581979</v>
      </c>
      <c r="W38" s="22">
        <v>22466.85</v>
      </c>
    </row>
    <row r="39" spans="1:23" ht="12.75">
      <c r="A39" s="16">
        <f t="shared" si="1"/>
        <v>23</v>
      </c>
      <c r="B39" s="3"/>
      <c r="C39" s="74" t="s">
        <v>468</v>
      </c>
      <c r="D39" s="5">
        <f t="shared" si="3"/>
        <v>-20054551.16</v>
      </c>
      <c r="E39" s="5">
        <f t="shared" si="4"/>
        <v>-14139716.36</v>
      </c>
      <c r="F39" s="5"/>
      <c r="G39" s="5"/>
      <c r="H39" s="5">
        <f t="shared" si="5"/>
        <v>-17097134</v>
      </c>
      <c r="I39" s="5"/>
      <c r="J39" s="5">
        <f t="shared" si="6"/>
        <v>-17097133.759999998</v>
      </c>
      <c r="K39" s="5">
        <f t="shared" si="7"/>
        <v>0</v>
      </c>
      <c r="L39" s="5">
        <f t="shared" si="8"/>
        <v>0</v>
      </c>
      <c r="M39" s="5">
        <f t="shared" si="9"/>
        <v>0</v>
      </c>
      <c r="N39" s="5"/>
      <c r="O39" s="5">
        <v>-20054551.16</v>
      </c>
      <c r="P39" s="5">
        <v>0</v>
      </c>
      <c r="Q39" s="5">
        <v>0</v>
      </c>
      <c r="R39" s="5">
        <v>0</v>
      </c>
      <c r="S39" s="5"/>
      <c r="T39" s="22">
        <v>-14139716.36</v>
      </c>
      <c r="U39" s="5">
        <v>0</v>
      </c>
      <c r="V39" s="22">
        <v>0</v>
      </c>
      <c r="W39" s="22">
        <v>0</v>
      </c>
    </row>
    <row r="40" spans="1:23" ht="12.75">
      <c r="A40" s="16">
        <f t="shared" si="1"/>
        <v>24</v>
      </c>
      <c r="B40" s="3" t="s">
        <v>469</v>
      </c>
      <c r="C40" s="37" t="s">
        <v>470</v>
      </c>
      <c r="D40" s="5">
        <f t="shared" si="3"/>
        <v>-10470.17</v>
      </c>
      <c r="E40" s="5">
        <f t="shared" si="4"/>
        <v>-11769.61</v>
      </c>
      <c r="F40" s="5"/>
      <c r="G40" s="5"/>
      <c r="H40" s="5">
        <f t="shared" si="5"/>
        <v>-11120</v>
      </c>
      <c r="I40" s="5"/>
      <c r="J40" s="5">
        <f t="shared" si="6"/>
        <v>-11119.89</v>
      </c>
      <c r="K40" s="5">
        <f t="shared" si="7"/>
        <v>0</v>
      </c>
      <c r="L40" s="5">
        <f t="shared" si="8"/>
        <v>0</v>
      </c>
      <c r="M40" s="5">
        <f t="shared" si="9"/>
        <v>0</v>
      </c>
      <c r="N40" s="5"/>
      <c r="O40" s="5">
        <v>-10470.17</v>
      </c>
      <c r="P40" s="5">
        <v>0</v>
      </c>
      <c r="Q40" s="5">
        <v>0</v>
      </c>
      <c r="R40" s="5">
        <v>0</v>
      </c>
      <c r="S40" s="5"/>
      <c r="T40" s="22">
        <f>-11998.78+229.17</f>
        <v>-11769.61</v>
      </c>
      <c r="U40" s="5">
        <v>0</v>
      </c>
      <c r="V40" s="22">
        <v>0</v>
      </c>
      <c r="W40" s="22">
        <v>0</v>
      </c>
    </row>
    <row r="41" spans="1:23" ht="12.75">
      <c r="A41" s="16">
        <f t="shared" si="1"/>
        <v>25</v>
      </c>
      <c r="B41" s="3" t="s">
        <v>471</v>
      </c>
      <c r="C41" s="37" t="s">
        <v>31</v>
      </c>
      <c r="D41" s="5">
        <f t="shared" si="3"/>
        <v>55651603.85</v>
      </c>
      <c r="E41" s="5">
        <f t="shared" si="4"/>
        <v>55386097.900000006</v>
      </c>
      <c r="F41" s="5"/>
      <c r="G41" s="5"/>
      <c r="H41" s="5">
        <f t="shared" si="5"/>
        <v>55518851</v>
      </c>
      <c r="I41" s="5"/>
      <c r="J41" s="5">
        <f t="shared" si="6"/>
        <v>48746813.16</v>
      </c>
      <c r="K41" s="5">
        <f t="shared" si="7"/>
        <v>3108234.405</v>
      </c>
      <c r="L41" s="5">
        <f t="shared" si="8"/>
        <v>3663803.3100000005</v>
      </c>
      <c r="M41" s="5">
        <f t="shared" si="9"/>
        <v>0</v>
      </c>
      <c r="N41" s="5"/>
      <c r="O41" s="5">
        <v>48906678.28</v>
      </c>
      <c r="P41" s="5">
        <f>7004364.18-3944085</f>
        <v>3060279.1799999997</v>
      </c>
      <c r="Q41" s="5">
        <f>8992558.39-5307912</f>
        <v>3684646.3900000006</v>
      </c>
      <c r="R41" s="5">
        <v>0</v>
      </c>
      <c r="S41" s="5"/>
      <c r="T41" s="22">
        <v>48586948.04</v>
      </c>
      <c r="U41" s="5">
        <f>6861621.63-3705539+107</f>
        <v>3156189.63</v>
      </c>
      <c r="V41" s="22">
        <f>8555879.23-4913245+326</f>
        <v>3642960.2300000004</v>
      </c>
      <c r="W41" s="22">
        <v>0</v>
      </c>
    </row>
    <row r="42" spans="1:23" ht="12.75">
      <c r="A42" s="16">
        <f t="shared" si="1"/>
        <v>26</v>
      </c>
      <c r="B42" s="3" t="s">
        <v>471</v>
      </c>
      <c r="C42" s="37" t="s">
        <v>472</v>
      </c>
      <c r="D42" s="5">
        <f t="shared" si="3"/>
        <v>14721690.14</v>
      </c>
      <c r="E42" s="5">
        <f t="shared" si="4"/>
        <v>14805609.48</v>
      </c>
      <c r="F42" s="5"/>
      <c r="G42" s="5"/>
      <c r="H42" s="5">
        <f t="shared" si="5"/>
        <v>14763650</v>
      </c>
      <c r="I42" s="5"/>
      <c r="J42" s="5">
        <f t="shared" si="6"/>
        <v>9792598.73</v>
      </c>
      <c r="K42" s="5">
        <f t="shared" si="7"/>
        <v>2152484.715</v>
      </c>
      <c r="L42" s="5">
        <f t="shared" si="8"/>
        <v>2818566.365</v>
      </c>
      <c r="M42" s="5">
        <f t="shared" si="9"/>
        <v>0</v>
      </c>
      <c r="N42" s="5"/>
      <c r="O42" s="5">
        <v>9683430.25</v>
      </c>
      <c r="P42" s="5">
        <f>2828362.2-639868</f>
        <v>2188494.2</v>
      </c>
      <c r="Q42" s="5">
        <f>4326158.69-1476393</f>
        <v>2849765.6900000004</v>
      </c>
      <c r="R42" s="5">
        <v>0</v>
      </c>
      <c r="S42" s="5"/>
      <c r="T42" s="22">
        <v>9901767.21</v>
      </c>
      <c r="U42" s="5">
        <v>2116475.23</v>
      </c>
      <c r="V42" s="22">
        <v>2787367.04</v>
      </c>
      <c r="W42" s="22">
        <v>0</v>
      </c>
    </row>
    <row r="43" spans="1:23" ht="12.75">
      <c r="A43" s="16">
        <f t="shared" si="1"/>
        <v>27</v>
      </c>
      <c r="B43" s="3" t="s">
        <v>471</v>
      </c>
      <c r="C43" s="37" t="s">
        <v>473</v>
      </c>
      <c r="D43" s="5">
        <f t="shared" si="3"/>
        <v>2652</v>
      </c>
      <c r="E43" s="5">
        <f t="shared" si="4"/>
        <v>2652</v>
      </c>
      <c r="F43" s="5"/>
      <c r="G43" s="5"/>
      <c r="H43" s="5">
        <f t="shared" si="5"/>
        <v>2652</v>
      </c>
      <c r="I43" s="5"/>
      <c r="J43" s="5">
        <f t="shared" si="6"/>
        <v>0</v>
      </c>
      <c r="K43" s="5">
        <f t="shared" si="7"/>
        <v>0</v>
      </c>
      <c r="L43" s="5">
        <f t="shared" si="8"/>
        <v>2652</v>
      </c>
      <c r="M43" s="5">
        <f t="shared" si="9"/>
        <v>0</v>
      </c>
      <c r="N43" s="5"/>
      <c r="O43" s="5">
        <v>0</v>
      </c>
      <c r="P43" s="5">
        <v>0</v>
      </c>
      <c r="Q43" s="5">
        <v>2652</v>
      </c>
      <c r="R43" s="5">
        <v>0</v>
      </c>
      <c r="S43" s="5"/>
      <c r="T43" s="22">
        <v>0</v>
      </c>
      <c r="U43" s="5">
        <v>0</v>
      </c>
      <c r="V43" s="22">
        <v>2652</v>
      </c>
      <c r="W43" s="22">
        <v>0</v>
      </c>
    </row>
    <row r="44" spans="1:23" ht="12.75">
      <c r="A44" s="16">
        <f t="shared" si="1"/>
        <v>28</v>
      </c>
      <c r="B44" s="3" t="s">
        <v>474</v>
      </c>
      <c r="C44" s="37" t="s">
        <v>32</v>
      </c>
      <c r="D44" s="5">
        <f t="shared" si="3"/>
        <v>124737</v>
      </c>
      <c r="E44" s="5">
        <f t="shared" si="4"/>
        <v>168313</v>
      </c>
      <c r="F44" s="5"/>
      <c r="G44" s="5"/>
      <c r="H44" s="5">
        <f t="shared" si="5"/>
        <v>146525</v>
      </c>
      <c r="I44" s="5"/>
      <c r="J44" s="5">
        <f t="shared" si="6"/>
        <v>0</v>
      </c>
      <c r="K44" s="5">
        <f t="shared" si="7"/>
        <v>50889.5</v>
      </c>
      <c r="L44" s="5">
        <f t="shared" si="8"/>
        <v>95635.5</v>
      </c>
      <c r="M44" s="5">
        <f t="shared" si="9"/>
        <v>0</v>
      </c>
      <c r="N44" s="5"/>
      <c r="O44" s="5">
        <v>0</v>
      </c>
      <c r="P44" s="5">
        <f>470320-427077</f>
        <v>43243</v>
      </c>
      <c r="Q44" s="5">
        <f>869001-787507</f>
        <v>81494</v>
      </c>
      <c r="R44" s="5">
        <v>0</v>
      </c>
      <c r="S44" s="5"/>
      <c r="T44" s="22">
        <v>0</v>
      </c>
      <c r="U44" s="5">
        <f>330924-290714+18326</f>
        <v>58536</v>
      </c>
      <c r="V44" s="22">
        <f>446546-392288+55519</f>
        <v>109777</v>
      </c>
      <c r="W44" s="22">
        <v>0</v>
      </c>
    </row>
    <row r="45" spans="1:23" ht="12.75">
      <c r="A45" s="16">
        <f t="shared" si="1"/>
        <v>29</v>
      </c>
      <c r="B45" s="3" t="s">
        <v>475</v>
      </c>
      <c r="C45" s="37" t="s">
        <v>33</v>
      </c>
      <c r="D45" s="5">
        <f t="shared" si="3"/>
        <v>52560</v>
      </c>
      <c r="E45" s="5">
        <f t="shared" si="4"/>
        <v>76873</v>
      </c>
      <c r="F45" s="5"/>
      <c r="G45" s="5"/>
      <c r="H45" s="5">
        <f t="shared" si="5"/>
        <v>64717</v>
      </c>
      <c r="I45" s="5"/>
      <c r="J45" s="5">
        <f t="shared" si="6"/>
        <v>0</v>
      </c>
      <c r="K45" s="5">
        <f t="shared" si="7"/>
        <v>18990</v>
      </c>
      <c r="L45" s="5">
        <f t="shared" si="8"/>
        <v>45726.5</v>
      </c>
      <c r="M45" s="5">
        <f t="shared" si="9"/>
        <v>0</v>
      </c>
      <c r="N45" s="5"/>
      <c r="O45" s="5">
        <v>0</v>
      </c>
      <c r="P45" s="5">
        <f>234911-219591</f>
        <v>15320</v>
      </c>
      <c r="Q45" s="5">
        <f>542815-505575</f>
        <v>37240</v>
      </c>
      <c r="R45" s="5">
        <v>0</v>
      </c>
      <c r="S45" s="5"/>
      <c r="T45" s="22">
        <v>0</v>
      </c>
      <c r="U45" s="5">
        <f>100510-91917+14067</f>
        <v>22660</v>
      </c>
      <c r="V45" s="22">
        <f>135522-123926+42617</f>
        <v>54213</v>
      </c>
      <c r="W45" s="22">
        <v>0</v>
      </c>
    </row>
    <row r="46" spans="1:23" ht="12.75">
      <c r="A46" s="16">
        <f t="shared" si="1"/>
        <v>30</v>
      </c>
      <c r="B46" s="3" t="s">
        <v>476</v>
      </c>
      <c r="C46" s="37" t="s">
        <v>34</v>
      </c>
      <c r="D46" s="5">
        <f t="shared" si="3"/>
        <v>-39426.53</v>
      </c>
      <c r="E46" s="5">
        <f t="shared" si="4"/>
        <v>-18290.03</v>
      </c>
      <c r="F46" s="5"/>
      <c r="G46" s="5"/>
      <c r="H46" s="5">
        <f t="shared" si="5"/>
        <v>-28858</v>
      </c>
      <c r="I46" s="5"/>
      <c r="J46" s="5">
        <f t="shared" si="6"/>
        <v>-43532.270000000004</v>
      </c>
      <c r="K46" s="5">
        <f t="shared" si="7"/>
        <v>5254.335</v>
      </c>
      <c r="L46" s="5">
        <f t="shared" si="8"/>
        <v>9419.654999999999</v>
      </c>
      <c r="M46" s="5">
        <f t="shared" si="9"/>
        <v>0</v>
      </c>
      <c r="N46" s="5"/>
      <c r="O46" s="5">
        <v>-49594.97</v>
      </c>
      <c r="P46" s="5">
        <f>3801.26-1</f>
        <v>3800.26</v>
      </c>
      <c r="Q46" s="5">
        <v>6368.18</v>
      </c>
      <c r="R46" s="5">
        <v>0</v>
      </c>
      <c r="S46" s="5"/>
      <c r="T46" s="22">
        <f>-2526.05-34943.52</f>
        <v>-37469.57</v>
      </c>
      <c r="U46" s="5">
        <f>4419.65+2288.76</f>
        <v>6708.41</v>
      </c>
      <c r="V46" s="22">
        <f>6580.4+5890.73</f>
        <v>12471.13</v>
      </c>
      <c r="W46" s="22">
        <v>0</v>
      </c>
    </row>
    <row r="47" spans="1:23" ht="12.75">
      <c r="A47" s="16">
        <f t="shared" si="1"/>
        <v>31</v>
      </c>
      <c r="B47" s="3" t="s">
        <v>477</v>
      </c>
      <c r="C47" s="37" t="s">
        <v>35</v>
      </c>
      <c r="D47" s="5">
        <f t="shared" si="3"/>
        <v>19758</v>
      </c>
      <c r="E47" s="5">
        <f t="shared" si="4"/>
        <v>27458</v>
      </c>
      <c r="F47" s="5"/>
      <c r="G47" s="5"/>
      <c r="H47" s="5">
        <f t="shared" si="5"/>
        <v>23608</v>
      </c>
      <c r="I47" s="5"/>
      <c r="J47" s="5">
        <f t="shared" si="6"/>
        <v>0</v>
      </c>
      <c r="K47" s="5">
        <f t="shared" si="7"/>
        <v>9144.5</v>
      </c>
      <c r="L47" s="5">
        <f t="shared" si="8"/>
        <v>14463.5</v>
      </c>
      <c r="M47" s="5">
        <f t="shared" si="9"/>
        <v>0</v>
      </c>
      <c r="N47" s="5"/>
      <c r="O47" s="5">
        <v>0</v>
      </c>
      <c r="P47" s="5">
        <f>89902-82223</f>
        <v>7679</v>
      </c>
      <c r="Q47" s="5">
        <f>147201-135122</f>
        <v>12079</v>
      </c>
      <c r="R47" s="5">
        <v>0</v>
      </c>
      <c r="S47" s="5"/>
      <c r="T47" s="22">
        <v>0</v>
      </c>
      <c r="U47" s="5">
        <f>75058-65956+1508</f>
        <v>10610</v>
      </c>
      <c r="V47" s="22">
        <f>101279-89000+4569</f>
        <v>16848</v>
      </c>
      <c r="W47" s="22">
        <v>0</v>
      </c>
    </row>
    <row r="48" spans="1:23" ht="12.75">
      <c r="A48" s="16">
        <f t="shared" si="1"/>
        <v>32</v>
      </c>
      <c r="B48" s="3" t="s">
        <v>478</v>
      </c>
      <c r="C48" s="37" t="s">
        <v>36</v>
      </c>
      <c r="D48" s="5">
        <f t="shared" si="3"/>
        <v>87494594.4</v>
      </c>
      <c r="E48" s="5">
        <f t="shared" si="4"/>
        <v>93661891.4</v>
      </c>
      <c r="F48" s="5"/>
      <c r="G48" s="5"/>
      <c r="H48" s="5">
        <f t="shared" si="5"/>
        <v>90578243</v>
      </c>
      <c r="I48" s="5"/>
      <c r="J48" s="5">
        <f t="shared" si="6"/>
        <v>45163447.15</v>
      </c>
      <c r="K48" s="5">
        <f t="shared" si="7"/>
        <v>8525627.25</v>
      </c>
      <c r="L48" s="5">
        <f t="shared" si="8"/>
        <v>36889168.5</v>
      </c>
      <c r="M48" s="5">
        <f t="shared" si="9"/>
        <v>0</v>
      </c>
      <c r="N48" s="5"/>
      <c r="O48" s="5">
        <v>45163447.15</v>
      </c>
      <c r="P48" s="5">
        <f>18581323.25-10361173</f>
        <v>8220150.25</v>
      </c>
      <c r="Q48" s="5">
        <f>74837435-40726438</f>
        <v>34110997</v>
      </c>
      <c r="R48" s="5">
        <v>0</v>
      </c>
      <c r="S48" s="5"/>
      <c r="T48" s="22">
        <v>45163447.15</v>
      </c>
      <c r="U48" s="5">
        <f>12031368.4-6758626+3558361.85</f>
        <v>8831104.25</v>
      </c>
      <c r="V48" s="22">
        <f>33856928.5-15647249+21457660.5</f>
        <v>39667340</v>
      </c>
      <c r="W48" s="22">
        <v>0</v>
      </c>
    </row>
    <row r="49" spans="1:23" ht="12.75">
      <c r="A49" s="16">
        <f t="shared" si="1"/>
        <v>33</v>
      </c>
      <c r="B49" s="3" t="s">
        <v>458</v>
      </c>
      <c r="C49" s="3" t="s">
        <v>114</v>
      </c>
      <c r="D49" s="5">
        <f t="shared" si="3"/>
        <v>97534355.1</v>
      </c>
      <c r="E49" s="5">
        <f t="shared" si="4"/>
        <v>87609167.1</v>
      </c>
      <c r="F49" s="5"/>
      <c r="G49" s="5"/>
      <c r="H49" s="5">
        <f t="shared" si="5"/>
        <v>92571761</v>
      </c>
      <c r="I49" s="5"/>
      <c r="J49" s="5">
        <f t="shared" si="6"/>
        <v>92571761.1</v>
      </c>
      <c r="K49" s="5">
        <f t="shared" si="7"/>
        <v>0</v>
      </c>
      <c r="L49" s="5">
        <f t="shared" si="8"/>
        <v>0</v>
      </c>
      <c r="M49" s="5">
        <f t="shared" si="9"/>
        <v>0</v>
      </c>
      <c r="N49" s="5"/>
      <c r="O49" s="5">
        <v>97534355.1</v>
      </c>
      <c r="P49" s="5">
        <v>0</v>
      </c>
      <c r="Q49" s="5">
        <v>0</v>
      </c>
      <c r="R49" s="5">
        <v>0</v>
      </c>
      <c r="S49" s="5"/>
      <c r="T49" s="22">
        <f>63270725.7+24338441.4</f>
        <v>87609167.1</v>
      </c>
      <c r="U49" s="29">
        <v>0</v>
      </c>
      <c r="V49" s="22">
        <v>0</v>
      </c>
      <c r="W49" s="22">
        <v>0</v>
      </c>
    </row>
    <row r="50" spans="1:23" ht="12.75">
      <c r="A50" s="16">
        <f aca="true" t="shared" si="10" ref="A50:A81">A49+1</f>
        <v>34</v>
      </c>
      <c r="B50" s="3" t="s">
        <v>458</v>
      </c>
      <c r="C50" s="3" t="s">
        <v>115</v>
      </c>
      <c r="D50" s="5">
        <f t="shared" si="3"/>
        <v>206617236.35</v>
      </c>
      <c r="E50" s="5">
        <f t="shared" si="4"/>
        <v>220796677.15</v>
      </c>
      <c r="F50" s="5"/>
      <c r="G50" s="5"/>
      <c r="H50" s="5">
        <f t="shared" si="5"/>
        <v>213706957</v>
      </c>
      <c r="I50" s="5"/>
      <c r="J50" s="5">
        <f t="shared" si="6"/>
        <v>213706956.75</v>
      </c>
      <c r="K50" s="5">
        <f t="shared" si="7"/>
        <v>0</v>
      </c>
      <c r="L50" s="5">
        <f t="shared" si="8"/>
        <v>0</v>
      </c>
      <c r="M50" s="5">
        <f t="shared" si="9"/>
        <v>0</v>
      </c>
      <c r="N50" s="5"/>
      <c r="O50" s="5">
        <v>206617236.35</v>
      </c>
      <c r="P50" s="5">
        <v>0</v>
      </c>
      <c r="Q50" s="5">
        <v>0</v>
      </c>
      <c r="R50" s="5">
        <v>0</v>
      </c>
      <c r="S50" s="5"/>
      <c r="T50" s="22">
        <f>176664954.55+44131722.6</f>
        <v>220796677.15</v>
      </c>
      <c r="U50" s="29">
        <v>0</v>
      </c>
      <c r="V50" s="22">
        <v>0</v>
      </c>
      <c r="W50" s="22">
        <v>0</v>
      </c>
    </row>
    <row r="51" spans="1:23" ht="12.75">
      <c r="A51" s="16">
        <f t="shared" si="10"/>
        <v>35</v>
      </c>
      <c r="B51" s="3" t="s">
        <v>458</v>
      </c>
      <c r="C51" s="3" t="s">
        <v>479</v>
      </c>
      <c r="D51" s="5">
        <f t="shared" si="3"/>
        <v>0</v>
      </c>
      <c r="E51" s="5">
        <f t="shared" si="4"/>
        <v>-708943.9</v>
      </c>
      <c r="F51" s="5"/>
      <c r="G51" s="5"/>
      <c r="H51" s="5">
        <f t="shared" si="5"/>
        <v>-354472</v>
      </c>
      <c r="I51" s="5"/>
      <c r="J51" s="5">
        <f t="shared" si="6"/>
        <v>-354472.125</v>
      </c>
      <c r="K51" s="5">
        <f t="shared" si="7"/>
        <v>0</v>
      </c>
      <c r="L51" s="5">
        <f t="shared" si="8"/>
        <v>0.175</v>
      </c>
      <c r="M51" s="5">
        <f t="shared" si="9"/>
        <v>0</v>
      </c>
      <c r="N51" s="5"/>
      <c r="O51" s="5">
        <v>0</v>
      </c>
      <c r="P51" s="5">
        <v>0</v>
      </c>
      <c r="Q51" s="5">
        <v>0</v>
      </c>
      <c r="R51" s="5">
        <v>0</v>
      </c>
      <c r="S51" s="5"/>
      <c r="T51" s="22">
        <v>-708944.25</v>
      </c>
      <c r="U51" s="29">
        <v>0</v>
      </c>
      <c r="V51" s="22">
        <v>0.35</v>
      </c>
      <c r="W51" s="22">
        <v>0</v>
      </c>
    </row>
    <row r="52" spans="1:23" ht="12.75">
      <c r="A52" s="16">
        <f t="shared" si="10"/>
        <v>36</v>
      </c>
      <c r="B52" s="3" t="s">
        <v>458</v>
      </c>
      <c r="C52" s="3" t="s">
        <v>480</v>
      </c>
      <c r="D52" s="5">
        <f t="shared" si="3"/>
        <v>-9491602.23</v>
      </c>
      <c r="E52" s="5">
        <f t="shared" si="4"/>
        <v>0</v>
      </c>
      <c r="F52" s="5"/>
      <c r="G52" s="5"/>
      <c r="H52" s="5">
        <f t="shared" si="5"/>
        <v>-4745801</v>
      </c>
      <c r="I52" s="5"/>
      <c r="J52" s="5">
        <f t="shared" si="6"/>
        <v>-4745801.115</v>
      </c>
      <c r="K52" s="5">
        <f t="shared" si="7"/>
        <v>0</v>
      </c>
      <c r="L52" s="5">
        <f t="shared" si="8"/>
        <v>0</v>
      </c>
      <c r="M52" s="5">
        <f t="shared" si="9"/>
        <v>0</v>
      </c>
      <c r="N52" s="5"/>
      <c r="O52" s="5">
        <v>-9491602.23</v>
      </c>
      <c r="P52" s="5">
        <v>0</v>
      </c>
      <c r="Q52" s="5">
        <v>0</v>
      </c>
      <c r="R52" s="5">
        <v>0</v>
      </c>
      <c r="S52" s="5"/>
      <c r="T52" s="22">
        <v>0</v>
      </c>
      <c r="U52" s="29">
        <v>0</v>
      </c>
      <c r="V52" s="22">
        <v>0</v>
      </c>
      <c r="W52" s="22">
        <v>0</v>
      </c>
    </row>
    <row r="53" spans="1:23" ht="12.75">
      <c r="A53" s="16">
        <f t="shared" si="10"/>
        <v>37</v>
      </c>
      <c r="B53" s="3" t="s">
        <v>458</v>
      </c>
      <c r="C53" s="3" t="s">
        <v>112</v>
      </c>
      <c r="D53" s="5">
        <f t="shared" si="3"/>
        <v>425548.55</v>
      </c>
      <c r="E53" s="5">
        <f t="shared" si="4"/>
        <v>580196.75</v>
      </c>
      <c r="F53" s="5"/>
      <c r="G53" s="5"/>
      <c r="H53" s="5">
        <f t="shared" si="5"/>
        <v>502873</v>
      </c>
      <c r="I53" s="5"/>
      <c r="J53" s="5">
        <f t="shared" si="6"/>
        <v>209855.8</v>
      </c>
      <c r="K53" s="5">
        <f t="shared" si="7"/>
        <v>41417.25</v>
      </c>
      <c r="L53" s="5">
        <f t="shared" si="8"/>
        <v>251599.6</v>
      </c>
      <c r="M53" s="5">
        <f t="shared" si="9"/>
        <v>0</v>
      </c>
      <c r="N53" s="5"/>
      <c r="O53" s="5">
        <v>209855.8</v>
      </c>
      <c r="P53" s="5">
        <v>46667.25</v>
      </c>
      <c r="Q53" s="5">
        <v>169025.5</v>
      </c>
      <c r="R53" s="5">
        <v>0</v>
      </c>
      <c r="S53" s="5"/>
      <c r="T53" s="22">
        <f>184783.2+25072.6</f>
        <v>209855.80000000002</v>
      </c>
      <c r="U53" s="29">
        <f>4244.8+31922.45</f>
        <v>36167.25</v>
      </c>
      <c r="V53" s="22">
        <f>165148.2+169025.5</f>
        <v>334173.7</v>
      </c>
      <c r="W53" s="22">
        <v>0</v>
      </c>
    </row>
    <row r="54" spans="1:23" ht="12.75">
      <c r="A54" s="16">
        <f t="shared" si="10"/>
        <v>38</v>
      </c>
      <c r="B54" s="3" t="s">
        <v>481</v>
      </c>
      <c r="C54" s="3" t="s">
        <v>90</v>
      </c>
      <c r="D54" s="5">
        <f t="shared" si="3"/>
        <v>14411176.3</v>
      </c>
      <c r="E54" s="5">
        <f t="shared" si="4"/>
        <v>13185400.3</v>
      </c>
      <c r="F54" s="5"/>
      <c r="G54" s="5"/>
      <c r="H54" s="5">
        <f t="shared" si="5"/>
        <v>13798288</v>
      </c>
      <c r="I54" s="5"/>
      <c r="J54" s="5">
        <f t="shared" si="6"/>
        <v>0</v>
      </c>
      <c r="K54" s="5">
        <f t="shared" si="7"/>
        <v>1514067.05</v>
      </c>
      <c r="L54" s="5">
        <f t="shared" si="8"/>
        <v>12284221.25</v>
      </c>
      <c r="M54" s="5">
        <f t="shared" si="9"/>
        <v>0</v>
      </c>
      <c r="N54" s="5"/>
      <c r="O54" s="5">
        <v>0</v>
      </c>
      <c r="P54" s="5">
        <f>1844322.55-393614</f>
        <v>1450708.55</v>
      </c>
      <c r="Q54" s="5">
        <f>15026411.75-2065944</f>
        <v>12960467.75</v>
      </c>
      <c r="R54" s="5">
        <v>0</v>
      </c>
      <c r="S54" s="5"/>
      <c r="T54" s="22">
        <v>0</v>
      </c>
      <c r="U54" s="29">
        <f>507235.05-41076+1111267-0.5</f>
        <v>1577425.55</v>
      </c>
      <c r="V54" s="22">
        <f>4526828.6-578861+7660007.15</f>
        <v>11607974.75</v>
      </c>
      <c r="W54" s="22">
        <v>0</v>
      </c>
    </row>
    <row r="55" spans="1:23" ht="12.75">
      <c r="A55" s="16">
        <f t="shared" si="10"/>
        <v>39</v>
      </c>
      <c r="B55" s="3" t="s">
        <v>482</v>
      </c>
      <c r="C55" s="37" t="s">
        <v>37</v>
      </c>
      <c r="D55" s="5">
        <f t="shared" si="3"/>
        <v>325850</v>
      </c>
      <c r="E55" s="5">
        <f t="shared" si="4"/>
        <v>431431</v>
      </c>
      <c r="F55" s="5"/>
      <c r="G55" s="5"/>
      <c r="H55" s="5">
        <f t="shared" si="5"/>
        <v>378641</v>
      </c>
      <c r="I55" s="5"/>
      <c r="J55" s="5">
        <f t="shared" si="6"/>
        <v>0</v>
      </c>
      <c r="K55" s="5">
        <f t="shared" si="7"/>
        <v>161165</v>
      </c>
      <c r="L55" s="5">
        <f t="shared" si="8"/>
        <v>217475.5</v>
      </c>
      <c r="M55" s="5">
        <f t="shared" si="9"/>
        <v>0</v>
      </c>
      <c r="N55" s="5"/>
      <c r="O55" s="5">
        <v>0</v>
      </c>
      <c r="P55" s="5">
        <f>1836658-1697963</f>
        <v>138695</v>
      </c>
      <c r="Q55" s="5">
        <f>2478373-2291218</f>
        <v>187155</v>
      </c>
      <c r="R55" s="5">
        <v>0</v>
      </c>
      <c r="S55" s="5"/>
      <c r="T55" s="22">
        <v>0</v>
      </c>
      <c r="U55" s="5">
        <f>1836658-1653023</f>
        <v>183635</v>
      </c>
      <c r="V55" s="22">
        <f>2478373-2230577</f>
        <v>247796</v>
      </c>
      <c r="W55" s="22">
        <v>0</v>
      </c>
    </row>
    <row r="56" spans="1:23" ht="12.75">
      <c r="A56" s="16">
        <f t="shared" si="10"/>
        <v>40</v>
      </c>
      <c r="B56" s="3" t="s">
        <v>483</v>
      </c>
      <c r="C56" s="37" t="s">
        <v>484</v>
      </c>
      <c r="D56" s="5">
        <f t="shared" si="3"/>
        <v>21186948.52</v>
      </c>
      <c r="E56" s="5">
        <f t="shared" si="4"/>
        <v>23228049.77</v>
      </c>
      <c r="F56" s="5"/>
      <c r="G56" s="5"/>
      <c r="H56" s="5">
        <f t="shared" si="5"/>
        <v>22207499</v>
      </c>
      <c r="I56" s="5"/>
      <c r="J56" s="5">
        <f t="shared" si="6"/>
        <v>-203963.90000000002</v>
      </c>
      <c r="K56" s="5">
        <f t="shared" si="7"/>
        <v>2684309.285</v>
      </c>
      <c r="L56" s="5">
        <f t="shared" si="8"/>
        <v>19727153.759999998</v>
      </c>
      <c r="M56" s="5">
        <f t="shared" si="9"/>
        <v>0</v>
      </c>
      <c r="N56" s="5"/>
      <c r="O56" s="5">
        <v>-1229497.85</v>
      </c>
      <c r="P56" s="5">
        <f>3624548.42-1045585</f>
        <v>2578963.42</v>
      </c>
      <c r="Q56" s="5">
        <f>25865540.95-6028058</f>
        <v>19837482.95</v>
      </c>
      <c r="R56" s="5">
        <v>0</v>
      </c>
      <c r="S56" s="5"/>
      <c r="T56" s="22">
        <f>750577+70993.05</f>
        <v>821570.05</v>
      </c>
      <c r="U56" s="5">
        <v>2789655.15</v>
      </c>
      <c r="V56" s="22">
        <v>19616824.57</v>
      </c>
      <c r="W56" s="22">
        <v>0</v>
      </c>
    </row>
    <row r="57" spans="1:23" ht="12.75">
      <c r="A57" s="16">
        <f t="shared" si="10"/>
        <v>41</v>
      </c>
      <c r="B57" s="3" t="s">
        <v>485</v>
      </c>
      <c r="C57" s="37" t="s">
        <v>486</v>
      </c>
      <c r="D57" s="5">
        <f t="shared" si="3"/>
        <v>107067773.05</v>
      </c>
      <c r="E57" s="5">
        <f t="shared" si="4"/>
        <v>107067773.05</v>
      </c>
      <c r="F57" s="5"/>
      <c r="G57" s="5"/>
      <c r="H57" s="5">
        <f t="shared" si="5"/>
        <v>107067773</v>
      </c>
      <c r="I57" s="5"/>
      <c r="J57" s="5">
        <f t="shared" si="6"/>
        <v>107067773.05</v>
      </c>
      <c r="K57" s="5">
        <f t="shared" si="7"/>
        <v>0</v>
      </c>
      <c r="L57" s="5">
        <f t="shared" si="8"/>
        <v>0</v>
      </c>
      <c r="M57" s="5">
        <f t="shared" si="9"/>
        <v>0</v>
      </c>
      <c r="N57" s="5"/>
      <c r="O57" s="5">
        <v>107067773.05</v>
      </c>
      <c r="P57" s="5">
        <v>0</v>
      </c>
      <c r="Q57" s="5">
        <v>0</v>
      </c>
      <c r="R57" s="5">
        <v>0</v>
      </c>
      <c r="S57" s="5"/>
      <c r="T57" s="21">
        <f>87199636+19868137.05</f>
        <v>107067773.05</v>
      </c>
      <c r="U57" s="21">
        <v>0</v>
      </c>
      <c r="V57" s="21">
        <v>0</v>
      </c>
      <c r="W57" s="21">
        <v>0</v>
      </c>
    </row>
    <row r="58" spans="1:23" ht="12.75">
      <c r="A58" s="16">
        <f t="shared" si="10"/>
        <v>42</v>
      </c>
      <c r="B58" s="3" t="s">
        <v>485</v>
      </c>
      <c r="C58" s="74" t="s">
        <v>487</v>
      </c>
      <c r="D58" s="5">
        <f t="shared" si="3"/>
        <v>-20652583.35</v>
      </c>
      <c r="E58" s="5">
        <f t="shared" si="4"/>
        <v>-20652583.35</v>
      </c>
      <c r="F58" s="5"/>
      <c r="G58" s="5"/>
      <c r="H58" s="5">
        <f t="shared" si="5"/>
        <v>-20652583</v>
      </c>
      <c r="I58" s="5"/>
      <c r="J58" s="5">
        <f t="shared" si="6"/>
        <v>-20652583.35</v>
      </c>
      <c r="K58" s="5">
        <f t="shared" si="7"/>
        <v>0</v>
      </c>
      <c r="L58" s="5">
        <f t="shared" si="8"/>
        <v>0</v>
      </c>
      <c r="M58" s="5">
        <f t="shared" si="9"/>
        <v>0</v>
      </c>
      <c r="N58" s="5"/>
      <c r="O58" s="5">
        <v>-20652583.35</v>
      </c>
      <c r="P58" s="5">
        <v>0</v>
      </c>
      <c r="Q58" s="5">
        <v>0</v>
      </c>
      <c r="R58" s="5">
        <v>0</v>
      </c>
      <c r="S58" s="5"/>
      <c r="T58" s="22">
        <v>-20652583.35</v>
      </c>
      <c r="U58" s="5">
        <v>0</v>
      </c>
      <c r="V58" s="22">
        <v>0</v>
      </c>
      <c r="W58" s="22">
        <v>0</v>
      </c>
    </row>
    <row r="59" spans="1:25" ht="12.75">
      <c r="A59" s="16">
        <f t="shared" si="10"/>
        <v>43</v>
      </c>
      <c r="B59" s="3"/>
      <c r="C59" s="37" t="s">
        <v>25</v>
      </c>
      <c r="D59" s="5">
        <v>592746.86</v>
      </c>
      <c r="E59" s="5">
        <v>595600.35</v>
      </c>
      <c r="F59" s="5">
        <f aca="true" t="shared" si="11" ref="F59:G61">-D59</f>
        <v>-592746.86</v>
      </c>
      <c r="G59" s="5">
        <f t="shared" si="11"/>
        <v>-595600.35</v>
      </c>
      <c r="H59" s="5">
        <f t="shared" si="5"/>
        <v>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6"/>
      <c r="W59" s="5"/>
      <c r="X59" s="2"/>
      <c r="Y59" s="2"/>
    </row>
    <row r="60" spans="1:25" ht="12.75">
      <c r="A60" s="16">
        <f t="shared" si="10"/>
        <v>44</v>
      </c>
      <c r="B60" s="3"/>
      <c r="C60" s="37" t="s">
        <v>38</v>
      </c>
      <c r="D60" s="5">
        <v>103376906.84</v>
      </c>
      <c r="E60" s="5">
        <v>102751510.08</v>
      </c>
      <c r="F60" s="5">
        <f t="shared" si="11"/>
        <v>-103376906.84</v>
      </c>
      <c r="G60" s="5">
        <f t="shared" si="11"/>
        <v>-102751510.08</v>
      </c>
      <c r="H60" s="5">
        <f t="shared" si="5"/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6"/>
      <c r="W60" s="5"/>
      <c r="X60" s="2"/>
      <c r="Y60" s="2"/>
    </row>
    <row r="61" spans="1:25" ht="12.75">
      <c r="A61" s="16">
        <f t="shared" si="10"/>
        <v>45</v>
      </c>
      <c r="B61" s="3"/>
      <c r="C61" s="37" t="s">
        <v>39</v>
      </c>
      <c r="D61" s="5">
        <v>-837918.11</v>
      </c>
      <c r="E61" s="5">
        <v>-2923856.41</v>
      </c>
      <c r="F61" s="5">
        <f t="shared" si="11"/>
        <v>837918.11</v>
      </c>
      <c r="G61" s="5">
        <f t="shared" si="11"/>
        <v>2923856.41</v>
      </c>
      <c r="H61" s="5">
        <f t="shared" si="5"/>
        <v>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6"/>
      <c r="W61" s="5"/>
      <c r="X61" s="2"/>
      <c r="Y61" s="2"/>
    </row>
    <row r="62" spans="1:23" ht="12.75">
      <c r="A62" s="16">
        <f t="shared" si="10"/>
        <v>46</v>
      </c>
      <c r="B62" s="3"/>
      <c r="C62" s="3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29"/>
      <c r="U62" s="29"/>
      <c r="V62" s="67"/>
      <c r="W62" s="29"/>
    </row>
    <row r="63" spans="1:23" ht="13.5" thickBot="1">
      <c r="A63" s="16">
        <f t="shared" si="10"/>
        <v>47</v>
      </c>
      <c r="B63" s="3"/>
      <c r="C63" s="1" t="s">
        <v>40</v>
      </c>
      <c r="D63" s="17">
        <f>SUM(D28:D62)</f>
        <v>1781887359.3</v>
      </c>
      <c r="E63" s="17">
        <f>SUM(E28:E62)</f>
        <v>1709712809.0899994</v>
      </c>
      <c r="F63" s="17">
        <f>SUM(F28:F62)</f>
        <v>-103131735.59</v>
      </c>
      <c r="G63" s="17">
        <f>SUM(G28:G62)</f>
        <v>-100423254.02</v>
      </c>
      <c r="H63" s="17">
        <f>SUM(H28:H62)</f>
        <v>1644022590</v>
      </c>
      <c r="I63" s="17"/>
      <c r="J63" s="17">
        <f>SUM(J28:J62)</f>
        <v>1056725073.42</v>
      </c>
      <c r="K63" s="17">
        <f>SUM(K28:K62)</f>
        <v>187099443.87000003</v>
      </c>
      <c r="L63" s="17">
        <f>SUM(L28:L62)</f>
        <v>397642735.84999996</v>
      </c>
      <c r="M63" s="17">
        <f>SUM(M28:M62)</f>
        <v>2555336.25</v>
      </c>
      <c r="N63" s="17"/>
      <c r="O63" s="17">
        <f>SUM(O28:O62)</f>
        <v>1058144582.62</v>
      </c>
      <c r="P63" s="17">
        <f>SUM(P28:P62)</f>
        <v>197923360.99999997</v>
      </c>
      <c r="Q63" s="17">
        <f>SUM(Q28:Q62)</f>
        <v>420358131.1500001</v>
      </c>
      <c r="R63" s="17">
        <f>SUM(R28:R62)</f>
        <v>2329548.9399999995</v>
      </c>
      <c r="S63" s="5"/>
      <c r="T63" s="35">
        <f>SUM(T28:T62)</f>
        <v>1055305564.2199997</v>
      </c>
      <c r="U63" s="35">
        <f>SUM(U28:U62)</f>
        <v>176275526.74000007</v>
      </c>
      <c r="V63" s="35">
        <f>SUM(V28:V62)</f>
        <v>374927340.55</v>
      </c>
      <c r="W63" s="35">
        <f>SUM(W28:W62)</f>
        <v>2781123.56</v>
      </c>
    </row>
    <row r="64" spans="1:23" ht="13.5" thickTop="1">
      <c r="A64" s="16">
        <f t="shared" si="10"/>
        <v>48</v>
      </c>
      <c r="B64" s="3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76" t="s">
        <v>24</v>
      </c>
      <c r="P64" s="18"/>
      <c r="Q64" s="18"/>
      <c r="R64" s="18"/>
      <c r="S64" s="5"/>
      <c r="T64" s="31"/>
      <c r="U64" s="31"/>
      <c r="V64" s="68"/>
      <c r="W64" s="31"/>
    </row>
    <row r="65" spans="1:23" ht="12.75">
      <c r="A65" s="16">
        <f t="shared" si="10"/>
        <v>49</v>
      </c>
      <c r="B65" s="3"/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  <c r="P65" s="5"/>
      <c r="Q65" s="5"/>
      <c r="R65" s="5"/>
      <c r="S65" s="5"/>
      <c r="T65" s="29"/>
      <c r="U65" s="29"/>
      <c r="V65" s="67"/>
      <c r="W65" s="29"/>
    </row>
    <row r="66" spans="1:23" ht="12.75">
      <c r="A66" s="16">
        <f t="shared" si="10"/>
        <v>50</v>
      </c>
      <c r="B66" s="3"/>
      <c r="C66" s="3" t="s">
        <v>65</v>
      </c>
      <c r="D66" s="5" t="s">
        <v>24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29"/>
      <c r="U66" s="29"/>
      <c r="V66" s="67"/>
      <c r="W66" s="29"/>
    </row>
    <row r="67" spans="1:23" ht="12.75">
      <c r="A67" s="16">
        <f t="shared" si="10"/>
        <v>51</v>
      </c>
      <c r="B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5" t="s">
        <v>24</v>
      </c>
      <c r="P67" s="5"/>
      <c r="Q67" s="5"/>
      <c r="R67" s="5"/>
      <c r="S67" s="5"/>
      <c r="T67" s="29"/>
      <c r="U67" s="29"/>
      <c r="V67" s="67"/>
      <c r="W67" s="29"/>
    </row>
    <row r="68" spans="1:23" ht="12.75">
      <c r="A68" s="16">
        <f t="shared" si="10"/>
        <v>52</v>
      </c>
      <c r="B68" s="3" t="s">
        <v>488</v>
      </c>
      <c r="C68" s="74" t="s">
        <v>489</v>
      </c>
      <c r="D68" s="5">
        <f aca="true" t="shared" si="12" ref="D68:D99">SUM(O68:R68)</f>
        <v>181408050.95</v>
      </c>
      <c r="E68" s="5">
        <f aca="true" t="shared" si="13" ref="E68:E99">SUM(T68:W68)</f>
        <v>157924599</v>
      </c>
      <c r="F68" s="5"/>
      <c r="G68" s="5"/>
      <c r="H68" s="5">
        <f aca="true" t="shared" si="14" ref="H68:H99">ROUND(SUM(D68:G68)/2,0)</f>
        <v>169666325</v>
      </c>
      <c r="I68" s="5"/>
      <c r="J68" s="5">
        <f aca="true" t="shared" si="15" ref="J68:J99">(+O68+T68)/2</f>
        <v>169666324.975</v>
      </c>
      <c r="K68" s="5">
        <f aca="true" t="shared" si="16" ref="K68:K99">(+P68+U68)/2</f>
        <v>0</v>
      </c>
      <c r="L68" s="5">
        <f aca="true" t="shared" si="17" ref="L68:L99">(+Q68+V68)/2</f>
        <v>0</v>
      </c>
      <c r="M68" s="5">
        <f aca="true" t="shared" si="18" ref="M68:M99">(+R68+W68)/2</f>
        <v>0</v>
      </c>
      <c r="N68" s="5"/>
      <c r="O68" s="5">
        <v>181408050.95</v>
      </c>
      <c r="P68" s="5">
        <v>0</v>
      </c>
      <c r="Q68" s="5">
        <v>0</v>
      </c>
      <c r="R68" s="5">
        <v>0</v>
      </c>
      <c r="S68" s="5"/>
      <c r="T68" s="22">
        <v>157924599</v>
      </c>
      <c r="U68" s="5">
        <v>0</v>
      </c>
      <c r="V68" s="22">
        <v>0</v>
      </c>
      <c r="W68" s="22">
        <v>0</v>
      </c>
    </row>
    <row r="69" spans="1:23" ht="12.75">
      <c r="A69" s="16">
        <f t="shared" si="10"/>
        <v>53</v>
      </c>
      <c r="B69" s="3" t="s">
        <v>488</v>
      </c>
      <c r="C69" s="74" t="s">
        <v>490</v>
      </c>
      <c r="D69" s="5">
        <f t="shared" si="12"/>
        <v>6064365.3</v>
      </c>
      <c r="E69" s="5">
        <f t="shared" si="13"/>
        <v>4479830.99</v>
      </c>
      <c r="F69" s="5"/>
      <c r="G69" s="5"/>
      <c r="H69" s="5">
        <f t="shared" si="14"/>
        <v>5272098</v>
      </c>
      <c r="I69" s="5"/>
      <c r="J69" s="5">
        <f t="shared" si="15"/>
        <v>5272098.145</v>
      </c>
      <c r="K69" s="5">
        <f t="shared" si="16"/>
        <v>0</v>
      </c>
      <c r="L69" s="5">
        <f t="shared" si="17"/>
        <v>0</v>
      </c>
      <c r="M69" s="5">
        <f t="shared" si="18"/>
        <v>0</v>
      </c>
      <c r="N69" s="5"/>
      <c r="O69" s="5">
        <v>6064365.3</v>
      </c>
      <c r="P69" s="5">
        <v>0</v>
      </c>
      <c r="Q69" s="5">
        <v>0</v>
      </c>
      <c r="R69" s="5">
        <v>0</v>
      </c>
      <c r="S69" s="5"/>
      <c r="T69" s="22">
        <v>4479830.99</v>
      </c>
      <c r="U69" s="5">
        <v>0</v>
      </c>
      <c r="V69" s="22">
        <v>0</v>
      </c>
      <c r="W69" s="22">
        <v>0</v>
      </c>
    </row>
    <row r="70" spans="1:23" ht="12.75">
      <c r="A70" s="16">
        <f t="shared" si="10"/>
        <v>54</v>
      </c>
      <c r="B70" s="3" t="s">
        <v>488</v>
      </c>
      <c r="C70" s="37" t="s">
        <v>491</v>
      </c>
      <c r="D70" s="5">
        <f t="shared" si="12"/>
        <v>349027.5</v>
      </c>
      <c r="E70" s="5">
        <f t="shared" si="13"/>
        <v>349027.5</v>
      </c>
      <c r="F70" s="5"/>
      <c r="G70" s="5"/>
      <c r="H70" s="5">
        <f t="shared" si="14"/>
        <v>349028</v>
      </c>
      <c r="I70" s="5"/>
      <c r="J70" s="5">
        <f t="shared" si="15"/>
        <v>0</v>
      </c>
      <c r="K70" s="5">
        <f t="shared" si="16"/>
        <v>0</v>
      </c>
      <c r="L70" s="5">
        <f t="shared" si="17"/>
        <v>349027.5</v>
      </c>
      <c r="M70" s="5">
        <f t="shared" si="18"/>
        <v>0</v>
      </c>
      <c r="N70" s="5"/>
      <c r="O70" s="5">
        <v>0</v>
      </c>
      <c r="P70" s="5">
        <v>0</v>
      </c>
      <c r="Q70" s="5">
        <v>349027.5</v>
      </c>
      <c r="R70" s="5">
        <v>0</v>
      </c>
      <c r="S70" s="5"/>
      <c r="T70" s="22">
        <v>0</v>
      </c>
      <c r="U70" s="5">
        <v>0</v>
      </c>
      <c r="V70" s="22">
        <v>349027.5</v>
      </c>
      <c r="W70" s="22">
        <v>0</v>
      </c>
    </row>
    <row r="71" spans="1:23" ht="12.75">
      <c r="A71" s="16">
        <f t="shared" si="10"/>
        <v>55</v>
      </c>
      <c r="B71" s="3" t="s">
        <v>488</v>
      </c>
      <c r="C71" s="37" t="s">
        <v>492</v>
      </c>
      <c r="D71" s="5">
        <f t="shared" si="12"/>
        <v>-22641681</v>
      </c>
      <c r="E71" s="5">
        <f t="shared" si="13"/>
        <v>0</v>
      </c>
      <c r="F71" s="5"/>
      <c r="G71" s="5"/>
      <c r="H71" s="5">
        <f t="shared" si="14"/>
        <v>-11320841</v>
      </c>
      <c r="I71" s="5"/>
      <c r="J71" s="5">
        <f t="shared" si="15"/>
        <v>-11320840.5</v>
      </c>
      <c r="K71" s="5">
        <f t="shared" si="16"/>
        <v>0</v>
      </c>
      <c r="L71" s="5">
        <f t="shared" si="17"/>
        <v>0</v>
      </c>
      <c r="M71" s="5">
        <f t="shared" si="18"/>
        <v>0</v>
      </c>
      <c r="N71" s="5"/>
      <c r="O71" s="5">
        <f>-17500000-5141681</f>
        <v>-22641681</v>
      </c>
      <c r="P71" s="5">
        <v>0</v>
      </c>
      <c r="Q71" s="5">
        <v>0</v>
      </c>
      <c r="R71" s="5">
        <v>0</v>
      </c>
      <c r="S71" s="5"/>
      <c r="T71" s="22">
        <v>0</v>
      </c>
      <c r="U71" s="5">
        <v>0</v>
      </c>
      <c r="V71" s="22">
        <v>0</v>
      </c>
      <c r="W71" s="22">
        <v>0</v>
      </c>
    </row>
    <row r="72" spans="1:23" ht="12.75">
      <c r="A72" s="16">
        <f t="shared" si="10"/>
        <v>56</v>
      </c>
      <c r="B72" s="3" t="s">
        <v>488</v>
      </c>
      <c r="C72" s="74" t="s">
        <v>493</v>
      </c>
      <c r="D72" s="5">
        <f t="shared" si="12"/>
        <v>30355267.76</v>
      </c>
      <c r="E72" s="5">
        <f t="shared" si="13"/>
        <v>19131927.57</v>
      </c>
      <c r="F72" s="5"/>
      <c r="G72" s="5"/>
      <c r="H72" s="5">
        <f t="shared" si="14"/>
        <v>24743598</v>
      </c>
      <c r="I72" s="5"/>
      <c r="J72" s="5">
        <f t="shared" si="15"/>
        <v>24743597.665</v>
      </c>
      <c r="K72" s="5">
        <f t="shared" si="16"/>
        <v>0</v>
      </c>
      <c r="L72" s="5">
        <f t="shared" si="17"/>
        <v>0</v>
      </c>
      <c r="M72" s="5">
        <f t="shared" si="18"/>
        <v>0</v>
      </c>
      <c r="N72" s="5"/>
      <c r="O72" s="5">
        <v>30355267.76</v>
      </c>
      <c r="P72" s="5">
        <v>0</v>
      </c>
      <c r="Q72" s="5">
        <v>0</v>
      </c>
      <c r="R72" s="5">
        <v>0</v>
      </c>
      <c r="S72" s="5"/>
      <c r="T72" s="22">
        <v>19131927.57</v>
      </c>
      <c r="U72" s="5">
        <v>0</v>
      </c>
      <c r="V72" s="22">
        <v>0</v>
      </c>
      <c r="W72" s="22">
        <v>0</v>
      </c>
    </row>
    <row r="73" spans="1:23" ht="12.75">
      <c r="A73" s="16">
        <f t="shared" si="10"/>
        <v>57</v>
      </c>
      <c r="B73" s="3" t="s">
        <v>488</v>
      </c>
      <c r="C73" s="74" t="s">
        <v>494</v>
      </c>
      <c r="D73" s="5">
        <f t="shared" si="12"/>
        <v>58948.43</v>
      </c>
      <c r="E73" s="5">
        <f t="shared" si="13"/>
        <v>1257665.68</v>
      </c>
      <c r="F73" s="5"/>
      <c r="G73" s="5"/>
      <c r="H73" s="5">
        <f t="shared" si="14"/>
        <v>658307</v>
      </c>
      <c r="I73" s="5"/>
      <c r="J73" s="5">
        <f t="shared" si="15"/>
        <v>658307.0549999999</v>
      </c>
      <c r="K73" s="5">
        <f t="shared" si="16"/>
        <v>0</v>
      </c>
      <c r="L73" s="5">
        <f t="shared" si="17"/>
        <v>0</v>
      </c>
      <c r="M73" s="5">
        <f t="shared" si="18"/>
        <v>0</v>
      </c>
      <c r="N73" s="5"/>
      <c r="O73" s="5">
        <v>58948.43</v>
      </c>
      <c r="P73" s="5">
        <v>0</v>
      </c>
      <c r="Q73" s="5">
        <v>0</v>
      </c>
      <c r="R73" s="5">
        <v>0</v>
      </c>
      <c r="S73" s="5"/>
      <c r="T73" s="22">
        <v>1257665.68</v>
      </c>
      <c r="U73" s="5">
        <v>0</v>
      </c>
      <c r="V73" s="22">
        <v>0</v>
      </c>
      <c r="W73" s="22">
        <v>0</v>
      </c>
    </row>
    <row r="74" spans="1:23" ht="12.75">
      <c r="A74" s="16">
        <f t="shared" si="10"/>
        <v>58</v>
      </c>
      <c r="B74" s="3" t="s">
        <v>488</v>
      </c>
      <c r="C74" s="74" t="s">
        <v>495</v>
      </c>
      <c r="D74" s="5">
        <f t="shared" si="12"/>
        <v>0</v>
      </c>
      <c r="E74" s="5">
        <f t="shared" si="13"/>
        <v>3756174.45</v>
      </c>
      <c r="F74" s="5"/>
      <c r="G74" s="5"/>
      <c r="H74" s="5">
        <f t="shared" si="14"/>
        <v>1878087</v>
      </c>
      <c r="I74" s="5"/>
      <c r="J74" s="5">
        <f t="shared" si="15"/>
        <v>1878087.225</v>
      </c>
      <c r="K74" s="5">
        <f t="shared" si="16"/>
        <v>0</v>
      </c>
      <c r="L74" s="5">
        <f t="shared" si="17"/>
        <v>0</v>
      </c>
      <c r="M74" s="5">
        <f t="shared" si="18"/>
        <v>0</v>
      </c>
      <c r="N74" s="5"/>
      <c r="O74" s="5">
        <v>0</v>
      </c>
      <c r="P74" s="5">
        <v>0</v>
      </c>
      <c r="Q74" s="5">
        <v>0</v>
      </c>
      <c r="R74" s="5">
        <v>0</v>
      </c>
      <c r="S74" s="5"/>
      <c r="T74" s="22">
        <v>3756174.45</v>
      </c>
      <c r="U74" s="5">
        <v>0</v>
      </c>
      <c r="V74" s="22">
        <v>0</v>
      </c>
      <c r="W74" s="22">
        <v>0</v>
      </c>
    </row>
    <row r="75" spans="1:23" ht="12.75">
      <c r="A75" s="16">
        <f t="shared" si="10"/>
        <v>59</v>
      </c>
      <c r="B75" s="3" t="s">
        <v>488</v>
      </c>
      <c r="C75" s="74" t="s">
        <v>496</v>
      </c>
      <c r="D75" s="5">
        <f t="shared" si="12"/>
        <v>-735396.9</v>
      </c>
      <c r="E75" s="5">
        <f t="shared" si="13"/>
        <v>0</v>
      </c>
      <c r="F75" s="5"/>
      <c r="G75" s="5"/>
      <c r="H75" s="5">
        <f t="shared" si="14"/>
        <v>-367698</v>
      </c>
      <c r="I75" s="5"/>
      <c r="J75" s="5">
        <f t="shared" si="15"/>
        <v>-367698.45</v>
      </c>
      <c r="K75" s="5">
        <f t="shared" si="16"/>
        <v>0</v>
      </c>
      <c r="L75" s="5">
        <f t="shared" si="17"/>
        <v>0</v>
      </c>
      <c r="M75" s="5">
        <f t="shared" si="18"/>
        <v>0</v>
      </c>
      <c r="N75" s="5"/>
      <c r="O75" s="5">
        <v>-735396.9</v>
      </c>
      <c r="P75" s="5">
        <v>0</v>
      </c>
      <c r="Q75" s="5">
        <v>0</v>
      </c>
      <c r="R75" s="5">
        <v>0</v>
      </c>
      <c r="S75" s="5"/>
      <c r="T75" s="22">
        <v>0</v>
      </c>
      <c r="U75" s="5">
        <v>0</v>
      </c>
      <c r="V75" s="22">
        <v>0</v>
      </c>
      <c r="W75" s="22">
        <v>0</v>
      </c>
    </row>
    <row r="76" spans="1:23" ht="12.75">
      <c r="A76" s="16">
        <f t="shared" si="10"/>
        <v>60</v>
      </c>
      <c r="B76" s="3" t="s">
        <v>497</v>
      </c>
      <c r="C76" s="37" t="s">
        <v>498</v>
      </c>
      <c r="D76" s="5">
        <f t="shared" si="12"/>
        <v>5105867.569999999</v>
      </c>
      <c r="E76" s="5">
        <f t="shared" si="13"/>
        <v>-121848.98999999999</v>
      </c>
      <c r="F76" s="5"/>
      <c r="G76" s="5"/>
      <c r="H76" s="5">
        <f t="shared" si="14"/>
        <v>2492009</v>
      </c>
      <c r="I76" s="5"/>
      <c r="J76" s="5">
        <f t="shared" si="15"/>
        <v>2520199.505</v>
      </c>
      <c r="K76" s="5">
        <f t="shared" si="16"/>
        <v>666.9299999999994</v>
      </c>
      <c r="L76" s="5">
        <f t="shared" si="17"/>
        <v>-28857.145</v>
      </c>
      <c r="M76" s="5">
        <f t="shared" si="18"/>
        <v>0</v>
      </c>
      <c r="N76" s="5"/>
      <c r="O76" s="5">
        <v>5093023.52</v>
      </c>
      <c r="P76" s="5">
        <v>12624.88</v>
      </c>
      <c r="Q76" s="5">
        <v>219.17</v>
      </c>
      <c r="R76" s="5">
        <v>0</v>
      </c>
      <c r="S76" s="5"/>
      <c r="T76" s="22">
        <v>-52624.51</v>
      </c>
      <c r="U76" s="5">
        <v>-11291.02</v>
      </c>
      <c r="V76" s="22">
        <v>-57933.46</v>
      </c>
      <c r="W76" s="22">
        <v>0</v>
      </c>
    </row>
    <row r="77" spans="1:23" ht="12.75">
      <c r="A77" s="16">
        <f t="shared" si="10"/>
        <v>61</v>
      </c>
      <c r="B77" s="3" t="s">
        <v>497</v>
      </c>
      <c r="C77" s="37" t="s">
        <v>499</v>
      </c>
      <c r="D77" s="5">
        <f t="shared" si="12"/>
        <v>3657375.4</v>
      </c>
      <c r="E77" s="5">
        <f t="shared" si="13"/>
        <v>0</v>
      </c>
      <c r="F77" s="5"/>
      <c r="G77" s="5"/>
      <c r="H77" s="5">
        <f t="shared" si="14"/>
        <v>1828688</v>
      </c>
      <c r="I77" s="5"/>
      <c r="J77" s="5">
        <f t="shared" si="15"/>
        <v>1828687.7</v>
      </c>
      <c r="K77" s="5">
        <f t="shared" si="16"/>
        <v>0</v>
      </c>
      <c r="L77" s="5">
        <f t="shared" si="17"/>
        <v>0</v>
      </c>
      <c r="M77" s="5">
        <f t="shared" si="18"/>
        <v>0</v>
      </c>
      <c r="N77" s="5"/>
      <c r="O77" s="5">
        <v>3657375.4</v>
      </c>
      <c r="P77" s="5">
        <v>0</v>
      </c>
      <c r="Q77" s="5">
        <v>0</v>
      </c>
      <c r="R77" s="5">
        <v>0</v>
      </c>
      <c r="S77" s="5"/>
      <c r="T77" s="22">
        <v>0</v>
      </c>
      <c r="U77" s="5">
        <v>0</v>
      </c>
      <c r="V77" s="22">
        <v>0</v>
      </c>
      <c r="W77" s="22">
        <v>0</v>
      </c>
    </row>
    <row r="78" spans="1:23" ht="12.75">
      <c r="A78" s="16">
        <f t="shared" si="10"/>
        <v>62</v>
      </c>
      <c r="B78" s="3" t="s">
        <v>500</v>
      </c>
      <c r="C78" s="37" t="s">
        <v>41</v>
      </c>
      <c r="D78" s="5">
        <f t="shared" si="12"/>
        <v>22879180.45</v>
      </c>
      <c r="E78" s="5">
        <f t="shared" si="13"/>
        <v>27725243.480000004</v>
      </c>
      <c r="F78" s="5"/>
      <c r="G78" s="5"/>
      <c r="H78" s="5">
        <f t="shared" si="14"/>
        <v>25302212</v>
      </c>
      <c r="I78" s="5"/>
      <c r="J78" s="5">
        <f t="shared" si="15"/>
        <v>25302211.965000004</v>
      </c>
      <c r="K78" s="5">
        <f t="shared" si="16"/>
        <v>0</v>
      </c>
      <c r="L78" s="5">
        <f t="shared" si="17"/>
        <v>0</v>
      </c>
      <c r="M78" s="5">
        <f t="shared" si="18"/>
        <v>0</v>
      </c>
      <c r="N78" s="5"/>
      <c r="O78" s="5">
        <f>23201156.88-321976.43</f>
        <v>22879180.45</v>
      </c>
      <c r="P78" s="5">
        <v>0</v>
      </c>
      <c r="Q78" s="5">
        <v>0</v>
      </c>
      <c r="R78" s="5">
        <v>0</v>
      </c>
      <c r="S78" s="5"/>
      <c r="T78" s="22">
        <f>15197210.55-151732.28+12679765.21</f>
        <v>27725243.480000004</v>
      </c>
      <c r="U78" s="5">
        <v>0</v>
      </c>
      <c r="V78" s="22">
        <v>0</v>
      </c>
      <c r="W78" s="22">
        <v>0</v>
      </c>
    </row>
    <row r="79" spans="1:23" ht="12.75">
      <c r="A79" s="16">
        <f t="shared" si="10"/>
        <v>63</v>
      </c>
      <c r="B79" s="3" t="s">
        <v>501</v>
      </c>
      <c r="C79" s="74" t="s">
        <v>101</v>
      </c>
      <c r="D79" s="5">
        <f t="shared" si="12"/>
        <v>331010.4</v>
      </c>
      <c r="E79" s="5">
        <f t="shared" si="13"/>
        <v>-0.18</v>
      </c>
      <c r="F79" s="5"/>
      <c r="G79" s="5"/>
      <c r="H79" s="5">
        <f t="shared" si="14"/>
        <v>165505</v>
      </c>
      <c r="I79" s="5"/>
      <c r="J79" s="5">
        <f t="shared" si="15"/>
        <v>165505.11000000002</v>
      </c>
      <c r="K79" s="5">
        <f t="shared" si="16"/>
        <v>0</v>
      </c>
      <c r="L79" s="5">
        <f t="shared" si="17"/>
        <v>0</v>
      </c>
      <c r="M79" s="5">
        <f t="shared" si="18"/>
        <v>0</v>
      </c>
      <c r="N79" s="5"/>
      <c r="O79" s="5">
        <v>331010.4</v>
      </c>
      <c r="P79" s="5">
        <v>0</v>
      </c>
      <c r="Q79" s="5">
        <v>0</v>
      </c>
      <c r="R79" s="5">
        <v>0</v>
      </c>
      <c r="S79" s="5"/>
      <c r="T79" s="22">
        <v>-0.18</v>
      </c>
      <c r="U79" s="5">
        <v>0</v>
      </c>
      <c r="V79" s="22">
        <v>0</v>
      </c>
      <c r="W79" s="22">
        <v>0</v>
      </c>
    </row>
    <row r="80" spans="1:23" ht="12.75">
      <c r="A80" s="16">
        <f t="shared" si="10"/>
        <v>64</v>
      </c>
      <c r="B80" s="3" t="s">
        <v>502</v>
      </c>
      <c r="C80" s="37" t="s">
        <v>57</v>
      </c>
      <c r="D80" s="5">
        <f t="shared" si="12"/>
        <v>133547346.28000002</v>
      </c>
      <c r="E80" s="5">
        <f t="shared" si="13"/>
        <v>100958411.76</v>
      </c>
      <c r="F80" s="5"/>
      <c r="G80" s="5"/>
      <c r="H80" s="5">
        <f t="shared" si="14"/>
        <v>117252879</v>
      </c>
      <c r="I80" s="5"/>
      <c r="J80" s="5">
        <f t="shared" si="15"/>
        <v>56584179.76</v>
      </c>
      <c r="K80" s="5">
        <f t="shared" si="16"/>
        <v>7651543.18</v>
      </c>
      <c r="L80" s="5">
        <f t="shared" si="17"/>
        <v>52783181.129999995</v>
      </c>
      <c r="M80" s="5">
        <f t="shared" si="18"/>
        <v>233974.95</v>
      </c>
      <c r="N80" s="5"/>
      <c r="O80" s="5">
        <v>68364303.08</v>
      </c>
      <c r="P80" s="5">
        <v>8133003.4</v>
      </c>
      <c r="Q80" s="5">
        <v>56765207.6</v>
      </c>
      <c r="R80" s="5">
        <v>284832.2</v>
      </c>
      <c r="S80" s="5"/>
      <c r="T80" s="22">
        <f>34879541.25+9924515.15+0.04</f>
        <v>44804056.44</v>
      </c>
      <c r="U80" s="5">
        <f>4108165.15+3061917.81</f>
        <v>7170082.96</v>
      </c>
      <c r="V80" s="22">
        <f>21514903.7+27286250.96</f>
        <v>48801154.66</v>
      </c>
      <c r="W80" s="22">
        <v>183117.7</v>
      </c>
    </row>
    <row r="81" spans="1:23" ht="12.75">
      <c r="A81" s="16">
        <f t="shared" si="10"/>
        <v>65</v>
      </c>
      <c r="B81" s="3" t="s">
        <v>503</v>
      </c>
      <c r="C81" s="74" t="s">
        <v>93</v>
      </c>
      <c r="D81" s="5">
        <f t="shared" si="12"/>
        <v>-106834682.15</v>
      </c>
      <c r="E81" s="5">
        <f t="shared" si="13"/>
        <v>-102446459.5</v>
      </c>
      <c r="F81" s="5"/>
      <c r="G81" s="5"/>
      <c r="H81" s="5">
        <f t="shared" si="14"/>
        <v>-104640571</v>
      </c>
      <c r="I81" s="5"/>
      <c r="J81" s="5">
        <f t="shared" si="15"/>
        <v>0</v>
      </c>
      <c r="K81" s="5">
        <f t="shared" si="16"/>
        <v>-14043584.625</v>
      </c>
      <c r="L81" s="5">
        <f t="shared" si="17"/>
        <v>-90596986.2</v>
      </c>
      <c r="M81" s="5">
        <f t="shared" si="18"/>
        <v>0</v>
      </c>
      <c r="N81" s="5"/>
      <c r="O81" s="5">
        <v>0</v>
      </c>
      <c r="P81" s="5">
        <v>-14447615.7</v>
      </c>
      <c r="Q81" s="5">
        <v>-92387066.45</v>
      </c>
      <c r="R81" s="5">
        <v>0</v>
      </c>
      <c r="S81" s="5"/>
      <c r="T81" s="22">
        <v>0</v>
      </c>
      <c r="U81" s="5">
        <f>-8777714.75-4861838.8</f>
        <v>-13639553.55</v>
      </c>
      <c r="V81" s="22">
        <f>-43055773.6-45751132.35</f>
        <v>-88806905.95</v>
      </c>
      <c r="W81" s="22">
        <v>0</v>
      </c>
    </row>
    <row r="82" spans="1:23" ht="12.75">
      <c r="A82" s="16">
        <f aca="true" t="shared" si="19" ref="A82:A113">A81+1</f>
        <v>66</v>
      </c>
      <c r="B82" s="3" t="s">
        <v>504</v>
      </c>
      <c r="C82" s="74" t="s">
        <v>505</v>
      </c>
      <c r="D82" s="5">
        <f t="shared" si="12"/>
        <v>2544933.49</v>
      </c>
      <c r="E82" s="5">
        <f t="shared" si="13"/>
        <v>2484378.0500000003</v>
      </c>
      <c r="F82" s="5"/>
      <c r="G82" s="5"/>
      <c r="H82" s="5">
        <f t="shared" si="14"/>
        <v>2514656</v>
      </c>
      <c r="I82" s="5"/>
      <c r="J82" s="5">
        <f t="shared" si="15"/>
        <v>0</v>
      </c>
      <c r="K82" s="5">
        <f t="shared" si="16"/>
        <v>2514655.7700000005</v>
      </c>
      <c r="L82" s="5">
        <f t="shared" si="17"/>
        <v>0</v>
      </c>
      <c r="M82" s="5">
        <f t="shared" si="18"/>
        <v>0</v>
      </c>
      <c r="N82" s="5"/>
      <c r="O82" s="5">
        <v>0</v>
      </c>
      <c r="P82" s="5">
        <v>2544933.49</v>
      </c>
      <c r="Q82" s="5">
        <v>0</v>
      </c>
      <c r="R82" s="5">
        <v>0</v>
      </c>
      <c r="S82" s="5"/>
      <c r="T82" s="22">
        <v>0</v>
      </c>
      <c r="U82" s="5">
        <f>1852528.62+631849.43</f>
        <v>2484378.0500000003</v>
      </c>
      <c r="V82" s="22">
        <v>0</v>
      </c>
      <c r="W82" s="22">
        <v>0</v>
      </c>
    </row>
    <row r="83" spans="1:23" ht="12.75">
      <c r="A83" s="16">
        <f t="shared" si="19"/>
        <v>67</v>
      </c>
      <c r="B83" s="3" t="s">
        <v>504</v>
      </c>
      <c r="C83" s="74" t="s">
        <v>506</v>
      </c>
      <c r="D83" s="5">
        <f t="shared" si="12"/>
        <v>3830467.52</v>
      </c>
      <c r="E83" s="5">
        <f t="shared" si="13"/>
        <v>3219390.19</v>
      </c>
      <c r="F83" s="5"/>
      <c r="G83" s="5"/>
      <c r="H83" s="5">
        <f t="shared" si="14"/>
        <v>3524929</v>
      </c>
      <c r="I83" s="5"/>
      <c r="J83" s="5">
        <f t="shared" si="15"/>
        <v>3488215.33</v>
      </c>
      <c r="K83" s="5">
        <f t="shared" si="16"/>
        <v>36713.524999999994</v>
      </c>
      <c r="L83" s="5">
        <f t="shared" si="17"/>
        <v>0</v>
      </c>
      <c r="M83" s="5">
        <f t="shared" si="18"/>
        <v>0</v>
      </c>
      <c r="N83" s="5"/>
      <c r="O83" s="5">
        <v>3793407.74</v>
      </c>
      <c r="P83" s="5">
        <v>37059.78</v>
      </c>
      <c r="Q83" s="5">
        <v>0</v>
      </c>
      <c r="R83" s="5">
        <v>0</v>
      </c>
      <c r="S83" s="5"/>
      <c r="T83" s="22">
        <v>3183022.92</v>
      </c>
      <c r="U83" s="5">
        <v>36367.27</v>
      </c>
      <c r="V83" s="22">
        <v>0</v>
      </c>
      <c r="W83" s="22">
        <v>0</v>
      </c>
    </row>
    <row r="84" spans="1:23" ht="12.75">
      <c r="A84" s="16">
        <f t="shared" si="19"/>
        <v>68</v>
      </c>
      <c r="B84" s="3" t="s">
        <v>507</v>
      </c>
      <c r="C84" s="3" t="s">
        <v>508</v>
      </c>
      <c r="D84" s="5">
        <f t="shared" si="12"/>
        <v>0</v>
      </c>
      <c r="E84" s="5">
        <f t="shared" si="13"/>
        <v>0.32</v>
      </c>
      <c r="F84" s="5"/>
      <c r="G84" s="5"/>
      <c r="H84" s="5">
        <f t="shared" si="14"/>
        <v>0</v>
      </c>
      <c r="I84" s="5"/>
      <c r="J84" s="5">
        <f t="shared" si="15"/>
        <v>0</v>
      </c>
      <c r="K84" s="5">
        <f t="shared" si="16"/>
        <v>0</v>
      </c>
      <c r="L84" s="5">
        <f t="shared" si="17"/>
        <v>0.08</v>
      </c>
      <c r="M84" s="5">
        <f t="shared" si="18"/>
        <v>0.08</v>
      </c>
      <c r="N84" s="5"/>
      <c r="O84" s="5">
        <v>0</v>
      </c>
      <c r="P84" s="5">
        <v>0</v>
      </c>
      <c r="Q84" s="5">
        <v>0</v>
      </c>
      <c r="R84" s="5">
        <v>0</v>
      </c>
      <c r="S84" s="5"/>
      <c r="T84" s="22">
        <v>0</v>
      </c>
      <c r="U84" s="29">
        <v>0</v>
      </c>
      <c r="V84" s="22">
        <v>0.16</v>
      </c>
      <c r="W84" s="22">
        <v>0.16</v>
      </c>
    </row>
    <row r="85" spans="1:23" ht="12.75">
      <c r="A85" s="16">
        <f t="shared" si="19"/>
        <v>69</v>
      </c>
      <c r="B85" s="3" t="s">
        <v>507</v>
      </c>
      <c r="C85" s="3" t="s">
        <v>509</v>
      </c>
      <c r="D85" s="5">
        <f t="shared" si="12"/>
        <v>7.03</v>
      </c>
      <c r="E85" s="5">
        <f t="shared" si="13"/>
        <v>111933.67</v>
      </c>
      <c r="F85" s="5"/>
      <c r="G85" s="5"/>
      <c r="H85" s="5">
        <f t="shared" si="14"/>
        <v>55970</v>
      </c>
      <c r="I85" s="5"/>
      <c r="J85" s="5">
        <f t="shared" si="15"/>
        <v>0</v>
      </c>
      <c r="K85" s="5">
        <f t="shared" si="16"/>
        <v>0</v>
      </c>
      <c r="L85" s="5">
        <f t="shared" si="17"/>
        <v>55970.35</v>
      </c>
      <c r="M85" s="5">
        <f t="shared" si="18"/>
        <v>0</v>
      </c>
      <c r="N85" s="5"/>
      <c r="O85" s="5">
        <v>0</v>
      </c>
      <c r="P85" s="5">
        <v>0</v>
      </c>
      <c r="Q85" s="5">
        <v>7.03</v>
      </c>
      <c r="R85" s="5">
        <v>0</v>
      </c>
      <c r="S85" s="5"/>
      <c r="T85" s="22">
        <v>0</v>
      </c>
      <c r="U85" s="29">
        <v>0</v>
      </c>
      <c r="V85" s="22">
        <f>64512.61+47421.06</f>
        <v>111933.67</v>
      </c>
      <c r="W85" s="22">
        <v>0</v>
      </c>
    </row>
    <row r="86" spans="1:23" ht="12.75">
      <c r="A86" s="16">
        <f t="shared" si="19"/>
        <v>70</v>
      </c>
      <c r="B86" s="3" t="s">
        <v>507</v>
      </c>
      <c r="C86" s="3" t="s">
        <v>510</v>
      </c>
      <c r="D86" s="5">
        <f t="shared" si="12"/>
        <v>0</v>
      </c>
      <c r="E86" s="5">
        <f t="shared" si="13"/>
        <v>777338.45</v>
      </c>
      <c r="F86" s="5"/>
      <c r="G86" s="5"/>
      <c r="H86" s="5">
        <f t="shared" si="14"/>
        <v>388669</v>
      </c>
      <c r="I86" s="5"/>
      <c r="J86" s="5">
        <f t="shared" si="15"/>
        <v>0</v>
      </c>
      <c r="K86" s="5">
        <f t="shared" si="16"/>
        <v>0</v>
      </c>
      <c r="L86" s="5">
        <f t="shared" si="17"/>
        <v>388669.225</v>
      </c>
      <c r="M86" s="5">
        <f t="shared" si="18"/>
        <v>0</v>
      </c>
      <c r="N86" s="5"/>
      <c r="O86" s="5">
        <v>0</v>
      </c>
      <c r="P86" s="5">
        <v>0</v>
      </c>
      <c r="Q86" s="5">
        <v>0</v>
      </c>
      <c r="R86" s="5">
        <v>0</v>
      </c>
      <c r="S86" s="5"/>
      <c r="T86" s="22">
        <v>0</v>
      </c>
      <c r="U86" s="29">
        <v>0</v>
      </c>
      <c r="V86" s="22">
        <v>777338.45</v>
      </c>
      <c r="W86" s="22">
        <v>0</v>
      </c>
    </row>
    <row r="87" spans="1:23" ht="12.75">
      <c r="A87" s="16">
        <f t="shared" si="19"/>
        <v>71</v>
      </c>
      <c r="B87" s="3" t="s">
        <v>511</v>
      </c>
      <c r="C87" s="37" t="s">
        <v>512</v>
      </c>
      <c r="D87" s="5">
        <f t="shared" si="12"/>
        <v>65654.4</v>
      </c>
      <c r="E87" s="5">
        <f t="shared" si="13"/>
        <v>82068</v>
      </c>
      <c r="F87" s="5"/>
      <c r="G87" s="5"/>
      <c r="H87" s="5">
        <f t="shared" si="14"/>
        <v>73861</v>
      </c>
      <c r="I87" s="5"/>
      <c r="J87" s="5">
        <f t="shared" si="15"/>
        <v>0</v>
      </c>
      <c r="K87" s="5">
        <f t="shared" si="16"/>
        <v>0</v>
      </c>
      <c r="L87" s="5">
        <f t="shared" si="17"/>
        <v>0</v>
      </c>
      <c r="M87" s="5">
        <f t="shared" si="18"/>
        <v>73861.2</v>
      </c>
      <c r="N87" s="5"/>
      <c r="O87" s="5">
        <v>0</v>
      </c>
      <c r="P87" s="5">
        <v>0</v>
      </c>
      <c r="Q87" s="5">
        <v>0</v>
      </c>
      <c r="R87" s="5">
        <v>65654.4</v>
      </c>
      <c r="S87" s="5"/>
      <c r="T87" s="22">
        <v>0</v>
      </c>
      <c r="U87" s="5">
        <v>0</v>
      </c>
      <c r="V87" s="22">
        <v>0</v>
      </c>
      <c r="W87" s="22">
        <v>82068</v>
      </c>
    </row>
    <row r="88" spans="1:23" ht="12.75">
      <c r="A88" s="16">
        <f t="shared" si="19"/>
        <v>72</v>
      </c>
      <c r="B88" s="3" t="s">
        <v>511</v>
      </c>
      <c r="C88" s="37" t="s">
        <v>513</v>
      </c>
      <c r="D88" s="5">
        <f t="shared" si="12"/>
        <v>-0.95</v>
      </c>
      <c r="E88" s="5">
        <f t="shared" si="13"/>
        <v>-14354.79</v>
      </c>
      <c r="F88" s="5"/>
      <c r="G88" s="5"/>
      <c r="H88" s="5">
        <f t="shared" si="14"/>
        <v>-7178</v>
      </c>
      <c r="I88" s="5"/>
      <c r="J88" s="5">
        <f t="shared" si="15"/>
        <v>-7177.870000000001</v>
      </c>
      <c r="K88" s="5">
        <f t="shared" si="16"/>
        <v>0</v>
      </c>
      <c r="L88" s="5">
        <f t="shared" si="17"/>
        <v>0</v>
      </c>
      <c r="M88" s="5">
        <f t="shared" si="18"/>
        <v>0</v>
      </c>
      <c r="N88" s="5"/>
      <c r="O88" s="5">
        <v>-0.95</v>
      </c>
      <c r="P88" s="5">
        <v>0</v>
      </c>
      <c r="Q88" s="5">
        <v>0</v>
      </c>
      <c r="R88" s="5">
        <v>0</v>
      </c>
      <c r="S88" s="5"/>
      <c r="T88" s="22">
        <v>-14354.79</v>
      </c>
      <c r="U88" s="5">
        <v>0</v>
      </c>
      <c r="V88" s="22">
        <v>0</v>
      </c>
      <c r="W88" s="22">
        <v>0</v>
      </c>
    </row>
    <row r="89" spans="1:23" ht="12.75">
      <c r="A89" s="16">
        <f t="shared" si="19"/>
        <v>73</v>
      </c>
      <c r="B89" s="3" t="s">
        <v>514</v>
      </c>
      <c r="C89" s="37" t="s">
        <v>515</v>
      </c>
      <c r="D89" s="5">
        <f t="shared" si="12"/>
        <v>0.15</v>
      </c>
      <c r="E89" s="5">
        <f t="shared" si="13"/>
        <v>2777840</v>
      </c>
      <c r="F89" s="5"/>
      <c r="G89" s="5"/>
      <c r="H89" s="5">
        <f t="shared" si="14"/>
        <v>1388920</v>
      </c>
      <c r="I89" s="5"/>
      <c r="J89" s="5">
        <f t="shared" si="15"/>
        <v>0</v>
      </c>
      <c r="K89" s="5">
        <f t="shared" si="16"/>
        <v>1388920.075</v>
      </c>
      <c r="L89" s="5">
        <f t="shared" si="17"/>
        <v>0</v>
      </c>
      <c r="M89" s="5">
        <f t="shared" si="18"/>
        <v>0</v>
      </c>
      <c r="N89" s="5"/>
      <c r="O89" s="5">
        <v>0</v>
      </c>
      <c r="P89" s="5">
        <v>0.15</v>
      </c>
      <c r="Q89" s="5">
        <v>0</v>
      </c>
      <c r="R89" s="5">
        <v>0</v>
      </c>
      <c r="S89" s="5"/>
      <c r="T89" s="22">
        <v>0</v>
      </c>
      <c r="U89" s="5">
        <f>1831639+946201</f>
        <v>2777840</v>
      </c>
      <c r="V89" s="22">
        <v>0</v>
      </c>
      <c r="W89" s="22">
        <v>0</v>
      </c>
    </row>
    <row r="90" spans="1:23" ht="12.75">
      <c r="A90" s="16">
        <f t="shared" si="19"/>
        <v>74</v>
      </c>
      <c r="B90" s="3" t="s">
        <v>516</v>
      </c>
      <c r="C90" s="37" t="s">
        <v>287</v>
      </c>
      <c r="D90" s="5">
        <f t="shared" si="12"/>
        <v>16546957.8</v>
      </c>
      <c r="E90" s="5">
        <f t="shared" si="13"/>
        <v>18497641.85</v>
      </c>
      <c r="F90" s="5"/>
      <c r="G90" s="5"/>
      <c r="H90" s="5">
        <f t="shared" si="14"/>
        <v>17522300</v>
      </c>
      <c r="I90" s="5"/>
      <c r="J90" s="5">
        <f t="shared" si="15"/>
        <v>17522299.825000003</v>
      </c>
      <c r="K90" s="5">
        <f t="shared" si="16"/>
        <v>0</v>
      </c>
      <c r="L90" s="5">
        <f t="shared" si="17"/>
        <v>0</v>
      </c>
      <c r="M90" s="5">
        <f t="shared" si="18"/>
        <v>0</v>
      </c>
      <c r="N90" s="5"/>
      <c r="O90" s="5">
        <v>16546957.8</v>
      </c>
      <c r="P90" s="5">
        <v>0</v>
      </c>
      <c r="Q90" s="5">
        <v>0</v>
      </c>
      <c r="R90" s="5">
        <v>0</v>
      </c>
      <c r="S90" s="5"/>
      <c r="T90" s="22">
        <f>7473470.75+11024171.1</f>
        <v>18497641.85</v>
      </c>
      <c r="U90" s="5">
        <v>0</v>
      </c>
      <c r="V90" s="22">
        <v>0</v>
      </c>
      <c r="W90" s="22">
        <v>0</v>
      </c>
    </row>
    <row r="91" spans="1:23" ht="12.75">
      <c r="A91" s="16">
        <f t="shared" si="19"/>
        <v>75</v>
      </c>
      <c r="B91" s="3" t="s">
        <v>517</v>
      </c>
      <c r="C91" s="37" t="s">
        <v>518</v>
      </c>
      <c r="D91" s="5">
        <f t="shared" si="12"/>
        <v>1602465.9</v>
      </c>
      <c r="E91" s="5">
        <f t="shared" si="13"/>
        <v>1602465.9</v>
      </c>
      <c r="F91" s="5"/>
      <c r="G91" s="5"/>
      <c r="H91" s="5">
        <f t="shared" si="14"/>
        <v>1602466</v>
      </c>
      <c r="I91" s="5"/>
      <c r="J91" s="5">
        <f t="shared" si="15"/>
        <v>1602465.9</v>
      </c>
      <c r="K91" s="5">
        <f t="shared" si="16"/>
        <v>0</v>
      </c>
      <c r="L91" s="5">
        <f t="shared" si="17"/>
        <v>0</v>
      </c>
      <c r="M91" s="5">
        <f t="shared" si="18"/>
        <v>0</v>
      </c>
      <c r="N91" s="5"/>
      <c r="O91" s="5">
        <v>1602465.9</v>
      </c>
      <c r="P91" s="5">
        <v>0</v>
      </c>
      <c r="Q91" s="5">
        <v>0</v>
      </c>
      <c r="R91" s="5">
        <v>0</v>
      </c>
      <c r="S91" s="5"/>
      <c r="T91" s="22">
        <v>1602465.9</v>
      </c>
      <c r="U91" s="5">
        <v>0</v>
      </c>
      <c r="V91" s="22">
        <v>0</v>
      </c>
      <c r="W91" s="22">
        <v>0</v>
      </c>
    </row>
    <row r="92" spans="1:23" ht="12.75">
      <c r="A92" s="16">
        <f t="shared" si="19"/>
        <v>76</v>
      </c>
      <c r="B92" s="3" t="s">
        <v>519</v>
      </c>
      <c r="C92" s="37" t="s">
        <v>288</v>
      </c>
      <c r="D92" s="5">
        <f t="shared" si="12"/>
        <v>-3249271.8</v>
      </c>
      <c r="E92" s="5">
        <f t="shared" si="13"/>
        <v>-265770.80000000005</v>
      </c>
      <c r="F92" s="5"/>
      <c r="G92" s="5"/>
      <c r="H92" s="5">
        <f t="shared" si="14"/>
        <v>-1757521</v>
      </c>
      <c r="I92" s="5"/>
      <c r="J92" s="5">
        <f t="shared" si="15"/>
        <v>-1757521.2999999998</v>
      </c>
      <c r="K92" s="5">
        <f t="shared" si="16"/>
        <v>0</v>
      </c>
      <c r="L92" s="5">
        <f t="shared" si="17"/>
        <v>0</v>
      </c>
      <c r="M92" s="5">
        <f t="shared" si="18"/>
        <v>0</v>
      </c>
      <c r="N92" s="5"/>
      <c r="O92" s="5">
        <v>-3249271.8</v>
      </c>
      <c r="P92" s="5">
        <v>0</v>
      </c>
      <c r="Q92" s="5">
        <v>0</v>
      </c>
      <c r="R92" s="5">
        <v>0</v>
      </c>
      <c r="S92" s="5"/>
      <c r="T92" s="22">
        <f>286564-552334.8</f>
        <v>-265770.80000000005</v>
      </c>
      <c r="U92" s="5">
        <v>0</v>
      </c>
      <c r="V92" s="22">
        <v>0</v>
      </c>
      <c r="W92" s="22">
        <v>0</v>
      </c>
    </row>
    <row r="93" spans="1:23" ht="12.75">
      <c r="A93" s="16">
        <f t="shared" si="19"/>
        <v>77</v>
      </c>
      <c r="B93" s="3" t="s">
        <v>520</v>
      </c>
      <c r="C93" s="37" t="s">
        <v>42</v>
      </c>
      <c r="D93" s="5">
        <f t="shared" si="12"/>
        <v>-123209.3</v>
      </c>
      <c r="E93" s="5">
        <f t="shared" si="13"/>
        <v>-14902.15</v>
      </c>
      <c r="F93" s="5"/>
      <c r="G93" s="5"/>
      <c r="H93" s="5">
        <f t="shared" si="14"/>
        <v>-69056</v>
      </c>
      <c r="I93" s="5"/>
      <c r="J93" s="5">
        <f t="shared" si="15"/>
        <v>-69055.725</v>
      </c>
      <c r="K93" s="5">
        <f t="shared" si="16"/>
        <v>0</v>
      </c>
      <c r="L93" s="5">
        <f t="shared" si="17"/>
        <v>0</v>
      </c>
      <c r="M93" s="5">
        <f t="shared" si="18"/>
        <v>0</v>
      </c>
      <c r="N93" s="5"/>
      <c r="O93" s="5">
        <v>-123209.3</v>
      </c>
      <c r="P93" s="5">
        <v>0</v>
      </c>
      <c r="Q93" s="5">
        <v>0</v>
      </c>
      <c r="R93" s="5">
        <v>0</v>
      </c>
      <c r="S93" s="5"/>
      <c r="T93" s="22">
        <f>-21134.75+6232.6</f>
        <v>-14902.15</v>
      </c>
      <c r="U93" s="5">
        <v>0</v>
      </c>
      <c r="V93" s="22">
        <v>0</v>
      </c>
      <c r="W93" s="22">
        <v>0</v>
      </c>
    </row>
    <row r="94" spans="1:23" ht="12.75">
      <c r="A94" s="16">
        <f t="shared" si="19"/>
        <v>78</v>
      </c>
      <c r="B94" s="3" t="s">
        <v>521</v>
      </c>
      <c r="C94" s="37" t="s">
        <v>522</v>
      </c>
      <c r="D94" s="5">
        <f t="shared" si="12"/>
        <v>1087557</v>
      </c>
      <c r="E94" s="5">
        <f t="shared" si="13"/>
        <v>1087557.1</v>
      </c>
      <c r="F94" s="5"/>
      <c r="G94" s="5"/>
      <c r="H94" s="5">
        <f t="shared" si="14"/>
        <v>1087557</v>
      </c>
      <c r="I94" s="5"/>
      <c r="J94" s="5">
        <f t="shared" si="15"/>
        <v>1087557</v>
      </c>
      <c r="K94" s="5">
        <f t="shared" si="16"/>
        <v>0</v>
      </c>
      <c r="L94" s="5">
        <f t="shared" si="17"/>
        <v>0.05</v>
      </c>
      <c r="M94" s="5">
        <f t="shared" si="18"/>
        <v>0</v>
      </c>
      <c r="N94" s="5"/>
      <c r="O94" s="5">
        <v>1087557</v>
      </c>
      <c r="P94" s="5">
        <v>0</v>
      </c>
      <c r="Q94" s="5">
        <v>0</v>
      </c>
      <c r="R94" s="5">
        <v>0</v>
      </c>
      <c r="S94" s="5"/>
      <c r="T94" s="22">
        <v>1087557</v>
      </c>
      <c r="U94" s="5">
        <v>0</v>
      </c>
      <c r="V94" s="22">
        <v>0.1</v>
      </c>
      <c r="W94" s="22">
        <v>0</v>
      </c>
    </row>
    <row r="95" spans="1:23" ht="12.75">
      <c r="A95" s="16">
        <f t="shared" si="19"/>
        <v>79</v>
      </c>
      <c r="B95" s="3" t="s">
        <v>523</v>
      </c>
      <c r="C95" s="74" t="s">
        <v>524</v>
      </c>
      <c r="D95" s="5">
        <f t="shared" si="12"/>
        <v>-882194.76</v>
      </c>
      <c r="E95" s="5">
        <f t="shared" si="13"/>
        <v>-1197065.19</v>
      </c>
      <c r="F95" s="5"/>
      <c r="G95" s="5"/>
      <c r="H95" s="5">
        <f t="shared" si="14"/>
        <v>-1039630</v>
      </c>
      <c r="I95" s="5"/>
      <c r="J95" s="5">
        <f t="shared" si="15"/>
        <v>0</v>
      </c>
      <c r="K95" s="5">
        <f t="shared" si="16"/>
        <v>0</v>
      </c>
      <c r="L95" s="5">
        <f t="shared" si="17"/>
        <v>-1039629.975</v>
      </c>
      <c r="M95" s="5">
        <f t="shared" si="18"/>
        <v>0</v>
      </c>
      <c r="N95" s="5"/>
      <c r="O95" s="5">
        <v>0</v>
      </c>
      <c r="P95" s="5">
        <v>0</v>
      </c>
      <c r="Q95" s="5">
        <v>-882194.76</v>
      </c>
      <c r="R95" s="5">
        <v>0</v>
      </c>
      <c r="S95" s="5"/>
      <c r="T95" s="22">
        <v>0</v>
      </c>
      <c r="U95" s="29">
        <v>0</v>
      </c>
      <c r="V95" s="22">
        <f>-406162.05-790903.14</f>
        <v>-1197065.19</v>
      </c>
      <c r="W95" s="22">
        <v>0</v>
      </c>
    </row>
    <row r="96" spans="1:23" ht="12.75">
      <c r="A96" s="16">
        <f t="shared" si="19"/>
        <v>80</v>
      </c>
      <c r="B96" s="3" t="s">
        <v>525</v>
      </c>
      <c r="C96" s="74" t="s">
        <v>526</v>
      </c>
      <c r="D96" s="5">
        <f t="shared" si="12"/>
        <v>0.01</v>
      </c>
      <c r="E96" s="5">
        <f t="shared" si="13"/>
        <v>35524.06</v>
      </c>
      <c r="F96" s="5"/>
      <c r="G96" s="5"/>
      <c r="H96" s="5">
        <f t="shared" si="14"/>
        <v>17762</v>
      </c>
      <c r="I96" s="5"/>
      <c r="J96" s="5">
        <f t="shared" si="15"/>
        <v>0</v>
      </c>
      <c r="K96" s="5">
        <f t="shared" si="16"/>
        <v>0</v>
      </c>
      <c r="L96" s="5">
        <f t="shared" si="17"/>
        <v>17762.035</v>
      </c>
      <c r="M96" s="5">
        <f t="shared" si="18"/>
        <v>0</v>
      </c>
      <c r="N96" s="5"/>
      <c r="O96" s="5">
        <v>0</v>
      </c>
      <c r="P96" s="5">
        <v>0</v>
      </c>
      <c r="Q96" s="5">
        <v>0.01</v>
      </c>
      <c r="R96" s="5">
        <v>0</v>
      </c>
      <c r="S96" s="5"/>
      <c r="T96" s="22">
        <v>0</v>
      </c>
      <c r="U96" s="29">
        <v>0</v>
      </c>
      <c r="V96" s="22">
        <f>20334.78+15189.28</f>
        <v>35524.06</v>
      </c>
      <c r="W96" s="22">
        <v>0</v>
      </c>
    </row>
    <row r="97" spans="1:23" ht="12.75">
      <c r="A97" s="16">
        <f t="shared" si="19"/>
        <v>81</v>
      </c>
      <c r="B97" s="3" t="s">
        <v>527</v>
      </c>
      <c r="C97" s="37" t="s">
        <v>528</v>
      </c>
      <c r="D97" s="5">
        <f t="shared" si="12"/>
        <v>-0.69</v>
      </c>
      <c r="E97" s="5">
        <f t="shared" si="13"/>
        <v>40724609.69</v>
      </c>
      <c r="F97" s="5"/>
      <c r="G97" s="5"/>
      <c r="H97" s="5">
        <f t="shared" si="14"/>
        <v>20362305</v>
      </c>
      <c r="I97" s="5"/>
      <c r="J97" s="5">
        <f t="shared" si="15"/>
        <v>0</v>
      </c>
      <c r="K97" s="5">
        <f t="shared" si="16"/>
        <v>0</v>
      </c>
      <c r="L97" s="5">
        <f t="shared" si="17"/>
        <v>20362304.5</v>
      </c>
      <c r="M97" s="5">
        <f t="shared" si="18"/>
        <v>0</v>
      </c>
      <c r="N97" s="5"/>
      <c r="O97" s="5">
        <v>0</v>
      </c>
      <c r="P97" s="5">
        <v>0</v>
      </c>
      <c r="Q97" s="5">
        <v>-0.69</v>
      </c>
      <c r="R97" s="5">
        <v>0</v>
      </c>
      <c r="S97" s="5"/>
      <c r="T97" s="22">
        <v>0</v>
      </c>
      <c r="U97" s="5">
        <v>0</v>
      </c>
      <c r="V97" s="22">
        <f>15744214.39+24980395.3</f>
        <v>40724609.69</v>
      </c>
      <c r="W97" s="22">
        <v>0</v>
      </c>
    </row>
    <row r="98" spans="1:23" ht="12.75">
      <c r="A98" s="16">
        <f t="shared" si="19"/>
        <v>82</v>
      </c>
      <c r="B98" s="3" t="s">
        <v>529</v>
      </c>
      <c r="C98" s="74" t="s">
        <v>530</v>
      </c>
      <c r="D98" s="5">
        <f t="shared" si="12"/>
        <v>-349028.49</v>
      </c>
      <c r="E98" s="5">
        <f t="shared" si="13"/>
        <v>13936975.92</v>
      </c>
      <c r="F98" s="5"/>
      <c r="G98" s="5"/>
      <c r="H98" s="5">
        <f t="shared" si="14"/>
        <v>6793974</v>
      </c>
      <c r="I98" s="5"/>
      <c r="J98" s="5">
        <f t="shared" si="15"/>
        <v>0</v>
      </c>
      <c r="K98" s="5">
        <f t="shared" si="16"/>
        <v>0</v>
      </c>
      <c r="L98" s="5">
        <f t="shared" si="17"/>
        <v>6793973.715</v>
      </c>
      <c r="M98" s="5">
        <f t="shared" si="18"/>
        <v>0</v>
      </c>
      <c r="N98" s="5"/>
      <c r="O98" s="5">
        <v>0</v>
      </c>
      <c r="P98" s="5">
        <v>0</v>
      </c>
      <c r="Q98" s="5">
        <v>-349028.49</v>
      </c>
      <c r="R98" s="5">
        <v>0</v>
      </c>
      <c r="S98" s="5"/>
      <c r="T98" s="22">
        <v>0</v>
      </c>
      <c r="U98" s="5">
        <v>0</v>
      </c>
      <c r="V98" s="22">
        <f>7058893.64+6878082.28</f>
        <v>13936975.92</v>
      </c>
      <c r="W98" s="22">
        <v>0</v>
      </c>
    </row>
    <row r="99" spans="1:23" ht="12.75">
      <c r="A99" s="16">
        <f t="shared" si="19"/>
        <v>83</v>
      </c>
      <c r="B99" s="3" t="s">
        <v>529</v>
      </c>
      <c r="C99" s="37" t="s">
        <v>531</v>
      </c>
      <c r="D99" s="5">
        <f t="shared" si="12"/>
        <v>9941394.55</v>
      </c>
      <c r="E99" s="5">
        <f t="shared" si="13"/>
        <v>133764.72</v>
      </c>
      <c r="F99" s="5"/>
      <c r="G99" s="5"/>
      <c r="H99" s="5">
        <f t="shared" si="14"/>
        <v>5037580</v>
      </c>
      <c r="I99" s="5"/>
      <c r="J99" s="5">
        <f t="shared" si="15"/>
        <v>0</v>
      </c>
      <c r="K99" s="5">
        <f t="shared" si="16"/>
        <v>5037579.635000001</v>
      </c>
      <c r="L99" s="5">
        <f t="shared" si="17"/>
        <v>0</v>
      </c>
      <c r="M99" s="5">
        <f t="shared" si="18"/>
        <v>0</v>
      </c>
      <c r="N99" s="5"/>
      <c r="O99" s="5">
        <v>0</v>
      </c>
      <c r="P99" s="5">
        <v>9941394.55</v>
      </c>
      <c r="Q99" s="5">
        <v>0</v>
      </c>
      <c r="R99" s="5">
        <v>0</v>
      </c>
      <c r="S99" s="5"/>
      <c r="T99" s="22">
        <v>0</v>
      </c>
      <c r="U99" s="5">
        <v>133764.72</v>
      </c>
      <c r="V99" s="22">
        <v>0</v>
      </c>
      <c r="W99" s="22">
        <v>0</v>
      </c>
    </row>
    <row r="100" spans="1:23" ht="12.75">
      <c r="A100" s="16">
        <f t="shared" si="19"/>
        <v>84</v>
      </c>
      <c r="B100" s="3" t="s">
        <v>532</v>
      </c>
      <c r="C100" s="74" t="s">
        <v>533</v>
      </c>
      <c r="D100" s="5">
        <f aca="true" t="shared" si="20" ref="D100:D121">SUM(O100:R100)</f>
        <v>15.75</v>
      </c>
      <c r="E100" s="5">
        <f aca="true" t="shared" si="21" ref="E100:E121">SUM(T100:W100)</f>
        <v>1167136.25</v>
      </c>
      <c r="F100" s="5"/>
      <c r="G100" s="5"/>
      <c r="H100" s="5">
        <f aca="true" t="shared" si="22" ref="H100:H127">ROUND(SUM(D100:G100)/2,0)</f>
        <v>583576</v>
      </c>
      <c r="I100" s="5"/>
      <c r="J100" s="5">
        <f aca="true" t="shared" si="23" ref="J100:J121">(+O100+T100)/2</f>
        <v>0</v>
      </c>
      <c r="K100" s="5">
        <f aca="true" t="shared" si="24" ref="K100:K121">(+P100+U100)/2</f>
        <v>0</v>
      </c>
      <c r="L100" s="5">
        <f aca="true" t="shared" si="25" ref="L100:L121">(+Q100+V100)/2</f>
        <v>583576</v>
      </c>
      <c r="M100" s="5">
        <f aca="true" t="shared" si="26" ref="M100:M121">(+R100+W100)/2</f>
        <v>0</v>
      </c>
      <c r="N100" s="5"/>
      <c r="O100" s="5">
        <v>0</v>
      </c>
      <c r="P100" s="5">
        <v>0</v>
      </c>
      <c r="Q100" s="5">
        <v>15.75</v>
      </c>
      <c r="R100" s="5">
        <v>0</v>
      </c>
      <c r="S100" s="5"/>
      <c r="T100" s="22">
        <v>0</v>
      </c>
      <c r="U100" s="5">
        <v>0</v>
      </c>
      <c r="V100" s="22">
        <f>429491.65+737644.6</f>
        <v>1167136.25</v>
      </c>
      <c r="W100" s="22">
        <v>0</v>
      </c>
    </row>
    <row r="101" spans="1:23" ht="12.75">
      <c r="A101" s="16">
        <f t="shared" si="19"/>
        <v>85</v>
      </c>
      <c r="B101" s="3" t="s">
        <v>534</v>
      </c>
      <c r="C101" s="74" t="s">
        <v>535</v>
      </c>
      <c r="D101" s="5">
        <f t="shared" si="20"/>
        <v>106834682.15</v>
      </c>
      <c r="E101" s="5">
        <f t="shared" si="21"/>
        <v>102446459.5</v>
      </c>
      <c r="F101" s="5"/>
      <c r="G101" s="5"/>
      <c r="H101" s="5">
        <f t="shared" si="22"/>
        <v>104640571</v>
      </c>
      <c r="I101" s="5"/>
      <c r="J101" s="5">
        <f t="shared" si="23"/>
        <v>0</v>
      </c>
      <c r="K101" s="5">
        <f t="shared" si="24"/>
        <v>14043584.625</v>
      </c>
      <c r="L101" s="5">
        <f t="shared" si="25"/>
        <v>90596986.2</v>
      </c>
      <c r="M101" s="5">
        <f t="shared" si="26"/>
        <v>0</v>
      </c>
      <c r="N101" s="5"/>
      <c r="O101" s="5">
        <v>0</v>
      </c>
      <c r="P101" s="5">
        <v>14447615.7</v>
      </c>
      <c r="Q101" s="5">
        <v>92387066.45</v>
      </c>
      <c r="R101" s="5">
        <v>0</v>
      </c>
      <c r="S101" s="5"/>
      <c r="T101" s="22">
        <v>0</v>
      </c>
      <c r="U101" s="29">
        <f>8777714.75+4861838.8</f>
        <v>13639553.55</v>
      </c>
      <c r="V101" s="22">
        <f>43055773.6+45751132.35</f>
        <v>88806905.95</v>
      </c>
      <c r="W101" s="22">
        <v>0</v>
      </c>
    </row>
    <row r="102" spans="1:23" ht="12.75">
      <c r="A102" s="16">
        <f t="shared" si="19"/>
        <v>86</v>
      </c>
      <c r="B102" s="3" t="s">
        <v>536</v>
      </c>
      <c r="C102" s="74" t="s">
        <v>537</v>
      </c>
      <c r="D102" s="5">
        <f t="shared" si="20"/>
        <v>-592.9</v>
      </c>
      <c r="E102" s="5">
        <f t="shared" si="21"/>
        <v>-593.25</v>
      </c>
      <c r="F102" s="5"/>
      <c r="G102" s="5"/>
      <c r="H102" s="5">
        <f t="shared" si="22"/>
        <v>-593</v>
      </c>
      <c r="I102" s="5"/>
      <c r="J102" s="5">
        <f t="shared" si="23"/>
        <v>-0.175</v>
      </c>
      <c r="K102" s="5">
        <f t="shared" si="24"/>
        <v>0</v>
      </c>
      <c r="L102" s="5">
        <f t="shared" si="25"/>
        <v>-592.9</v>
      </c>
      <c r="M102" s="5">
        <f t="shared" si="26"/>
        <v>0</v>
      </c>
      <c r="N102" s="5"/>
      <c r="O102" s="5">
        <v>0</v>
      </c>
      <c r="P102" s="5">
        <v>0</v>
      </c>
      <c r="Q102" s="5">
        <v>-592.9</v>
      </c>
      <c r="R102" s="5">
        <v>0</v>
      </c>
      <c r="S102" s="5"/>
      <c r="T102" s="22">
        <v>-0.35</v>
      </c>
      <c r="U102" s="29">
        <v>0</v>
      </c>
      <c r="V102" s="22">
        <v>-592.9</v>
      </c>
      <c r="W102" s="22">
        <v>0</v>
      </c>
    </row>
    <row r="103" spans="1:23" ht="12.75">
      <c r="A103" s="16">
        <f t="shared" si="19"/>
        <v>87</v>
      </c>
      <c r="B103" s="3" t="s">
        <v>538</v>
      </c>
      <c r="C103" s="74" t="s">
        <v>539</v>
      </c>
      <c r="D103" s="5">
        <f t="shared" si="20"/>
        <v>29565228.35</v>
      </c>
      <c r="E103" s="5">
        <f t="shared" si="21"/>
        <v>24895022.6</v>
      </c>
      <c r="F103" s="5"/>
      <c r="G103" s="5"/>
      <c r="H103" s="5">
        <f t="shared" si="22"/>
        <v>27230125</v>
      </c>
      <c r="I103" s="5"/>
      <c r="J103" s="5">
        <f t="shared" si="23"/>
        <v>0</v>
      </c>
      <c r="K103" s="5">
        <f t="shared" si="24"/>
        <v>3800793.3249999997</v>
      </c>
      <c r="L103" s="5">
        <f t="shared" si="25"/>
        <v>23429332.15</v>
      </c>
      <c r="M103" s="5">
        <f t="shared" si="26"/>
        <v>0</v>
      </c>
      <c r="N103" s="5"/>
      <c r="O103" s="5">
        <v>0</v>
      </c>
      <c r="P103" s="5">
        <v>4132475.55</v>
      </c>
      <c r="Q103" s="5">
        <v>25432752.8</v>
      </c>
      <c r="R103" s="5">
        <v>0</v>
      </c>
      <c r="S103" s="5"/>
      <c r="T103" s="22">
        <v>0</v>
      </c>
      <c r="U103" s="29">
        <f>2524185.65+944925.45</f>
        <v>3469111.0999999996</v>
      </c>
      <c r="V103" s="22">
        <f>12169093.3+9256818.2</f>
        <v>21425911.5</v>
      </c>
      <c r="W103" s="22">
        <v>0</v>
      </c>
    </row>
    <row r="104" spans="1:23" ht="12.75">
      <c r="A104" s="16">
        <f t="shared" si="19"/>
        <v>88</v>
      </c>
      <c r="B104" s="3" t="s">
        <v>538</v>
      </c>
      <c r="C104" s="74" t="s">
        <v>540</v>
      </c>
      <c r="D104" s="5">
        <f t="shared" si="20"/>
        <v>1558855.2</v>
      </c>
      <c r="E104" s="5">
        <f t="shared" si="21"/>
        <v>1181874.4</v>
      </c>
      <c r="F104" s="5"/>
      <c r="G104" s="5"/>
      <c r="H104" s="5">
        <f t="shared" si="22"/>
        <v>1370365</v>
      </c>
      <c r="I104" s="5"/>
      <c r="J104" s="5">
        <f t="shared" si="23"/>
        <v>0</v>
      </c>
      <c r="K104" s="5">
        <f t="shared" si="24"/>
        <v>0</v>
      </c>
      <c r="L104" s="5">
        <f t="shared" si="25"/>
        <v>1370364.7999999998</v>
      </c>
      <c r="M104" s="5">
        <f t="shared" si="26"/>
        <v>0</v>
      </c>
      <c r="N104" s="5"/>
      <c r="O104" s="5">
        <v>0</v>
      </c>
      <c r="P104" s="5">
        <v>0</v>
      </c>
      <c r="Q104" s="5">
        <v>1558855.2</v>
      </c>
      <c r="R104" s="5">
        <v>0</v>
      </c>
      <c r="S104" s="5"/>
      <c r="T104" s="22">
        <v>0</v>
      </c>
      <c r="U104" s="29">
        <v>0</v>
      </c>
      <c r="V104" s="22">
        <f>135461.9+1046412.5</f>
        <v>1181874.4</v>
      </c>
      <c r="W104" s="22">
        <v>0</v>
      </c>
    </row>
    <row r="105" spans="1:23" ht="12.75">
      <c r="A105" s="16">
        <f t="shared" si="19"/>
        <v>89</v>
      </c>
      <c r="B105" s="3" t="s">
        <v>538</v>
      </c>
      <c r="C105" s="74" t="s">
        <v>541</v>
      </c>
      <c r="D105" s="5">
        <f t="shared" si="20"/>
        <v>604172.57</v>
      </c>
      <c r="E105" s="5">
        <f t="shared" si="21"/>
        <v>383139.98</v>
      </c>
      <c r="F105" s="5"/>
      <c r="G105" s="5"/>
      <c r="H105" s="5">
        <f t="shared" si="22"/>
        <v>493656</v>
      </c>
      <c r="I105" s="5"/>
      <c r="J105" s="5">
        <f t="shared" si="23"/>
        <v>0</v>
      </c>
      <c r="K105" s="5">
        <f t="shared" si="24"/>
        <v>0</v>
      </c>
      <c r="L105" s="5">
        <f t="shared" si="25"/>
        <v>493656.27499999997</v>
      </c>
      <c r="M105" s="5">
        <f t="shared" si="26"/>
        <v>0</v>
      </c>
      <c r="N105" s="5"/>
      <c r="O105" s="5">
        <v>0</v>
      </c>
      <c r="P105" s="5">
        <v>0</v>
      </c>
      <c r="Q105" s="5">
        <v>604172.57</v>
      </c>
      <c r="R105" s="5">
        <v>0</v>
      </c>
      <c r="S105" s="5"/>
      <c r="T105" s="22">
        <v>0</v>
      </c>
      <c r="U105" s="29">
        <v>0</v>
      </c>
      <c r="V105" s="22">
        <f>134589.75+248550.23</f>
        <v>383139.98</v>
      </c>
      <c r="W105" s="22">
        <v>0</v>
      </c>
    </row>
    <row r="106" spans="1:23" ht="12.75">
      <c r="A106" s="16">
        <f t="shared" si="19"/>
        <v>90</v>
      </c>
      <c r="B106" s="3" t="s">
        <v>538</v>
      </c>
      <c r="C106" s="74" t="s">
        <v>542</v>
      </c>
      <c r="D106" s="5">
        <f t="shared" si="20"/>
        <v>3504294.89</v>
      </c>
      <c r="E106" s="5">
        <f t="shared" si="21"/>
        <v>109017.31000000001</v>
      </c>
      <c r="F106" s="5"/>
      <c r="G106" s="5"/>
      <c r="H106" s="5">
        <f t="shared" si="22"/>
        <v>1806656</v>
      </c>
      <c r="I106" s="5"/>
      <c r="J106" s="5">
        <f t="shared" si="23"/>
        <v>0</v>
      </c>
      <c r="K106" s="5">
        <f t="shared" si="24"/>
        <v>0</v>
      </c>
      <c r="L106" s="5">
        <f t="shared" si="25"/>
        <v>1806656.1</v>
      </c>
      <c r="M106" s="5">
        <f t="shared" si="26"/>
        <v>0</v>
      </c>
      <c r="N106" s="5"/>
      <c r="O106" s="5">
        <v>0</v>
      </c>
      <c r="P106" s="5">
        <v>0</v>
      </c>
      <c r="Q106" s="5">
        <v>3504294.89</v>
      </c>
      <c r="R106" s="5">
        <v>0</v>
      </c>
      <c r="S106" s="5"/>
      <c r="T106" s="22">
        <v>0</v>
      </c>
      <c r="U106" s="29">
        <v>0</v>
      </c>
      <c r="V106" s="22">
        <f>109017.32-0.01</f>
        <v>109017.31000000001</v>
      </c>
      <c r="W106" s="22">
        <v>0</v>
      </c>
    </row>
    <row r="107" spans="1:23" ht="12.75">
      <c r="A107" s="16">
        <f t="shared" si="19"/>
        <v>91</v>
      </c>
      <c r="B107" s="3" t="s">
        <v>538</v>
      </c>
      <c r="C107" s="74" t="s">
        <v>543</v>
      </c>
      <c r="D107" s="5">
        <f t="shared" si="20"/>
        <v>4200000</v>
      </c>
      <c r="E107" s="5">
        <f t="shared" si="21"/>
        <v>2100000</v>
      </c>
      <c r="F107" s="5"/>
      <c r="G107" s="5"/>
      <c r="H107" s="5">
        <f t="shared" si="22"/>
        <v>3150000</v>
      </c>
      <c r="I107" s="5"/>
      <c r="J107" s="5">
        <f t="shared" si="23"/>
        <v>0</v>
      </c>
      <c r="K107" s="5">
        <f t="shared" si="24"/>
        <v>0</v>
      </c>
      <c r="L107" s="5">
        <f t="shared" si="25"/>
        <v>3150000</v>
      </c>
      <c r="M107" s="5">
        <f t="shared" si="26"/>
        <v>0</v>
      </c>
      <c r="N107" s="5"/>
      <c r="O107" s="5">
        <v>0</v>
      </c>
      <c r="P107" s="5">
        <v>0</v>
      </c>
      <c r="Q107" s="5">
        <v>4200000</v>
      </c>
      <c r="R107" s="5">
        <v>0</v>
      </c>
      <c r="S107" s="5"/>
      <c r="T107" s="22">
        <v>0</v>
      </c>
      <c r="U107" s="29">
        <v>0</v>
      </c>
      <c r="V107" s="22">
        <f>1050000+1050000</f>
        <v>2100000</v>
      </c>
      <c r="W107" s="22">
        <v>0</v>
      </c>
    </row>
    <row r="108" spans="1:23" ht="12.75">
      <c r="A108" s="16">
        <f t="shared" si="19"/>
        <v>92</v>
      </c>
      <c r="B108" s="3" t="s">
        <v>538</v>
      </c>
      <c r="C108" s="74" t="s">
        <v>544</v>
      </c>
      <c r="D108" s="5">
        <f t="shared" si="20"/>
        <v>200193</v>
      </c>
      <c r="E108" s="5">
        <f t="shared" si="21"/>
        <v>40038.6</v>
      </c>
      <c r="F108" s="5"/>
      <c r="G108" s="5"/>
      <c r="H108" s="5">
        <f t="shared" si="22"/>
        <v>120116</v>
      </c>
      <c r="I108" s="5"/>
      <c r="J108" s="5">
        <f t="shared" si="23"/>
        <v>0</v>
      </c>
      <c r="K108" s="5">
        <f t="shared" si="24"/>
        <v>0</v>
      </c>
      <c r="L108" s="5">
        <f t="shared" si="25"/>
        <v>120115.8</v>
      </c>
      <c r="M108" s="5">
        <f t="shared" si="26"/>
        <v>0</v>
      </c>
      <c r="N108" s="5"/>
      <c r="O108" s="5">
        <v>0</v>
      </c>
      <c r="P108" s="5">
        <v>0</v>
      </c>
      <c r="Q108" s="5">
        <v>200193</v>
      </c>
      <c r="R108" s="5">
        <v>0</v>
      </c>
      <c r="S108" s="5"/>
      <c r="T108" s="22">
        <v>0</v>
      </c>
      <c r="U108" s="29">
        <v>0</v>
      </c>
      <c r="V108" s="22">
        <f>19983.6+20055</f>
        <v>40038.6</v>
      </c>
      <c r="W108" s="22">
        <v>0</v>
      </c>
    </row>
    <row r="109" spans="1:23" ht="12.75">
      <c r="A109" s="16">
        <f t="shared" si="19"/>
        <v>93</v>
      </c>
      <c r="B109" s="3" t="s">
        <v>538</v>
      </c>
      <c r="C109" s="74" t="s">
        <v>545</v>
      </c>
      <c r="D109" s="5">
        <f t="shared" si="20"/>
        <v>-53728862.93</v>
      </c>
      <c r="E109" s="5">
        <f t="shared" si="21"/>
        <v>0</v>
      </c>
      <c r="F109" s="5"/>
      <c r="G109" s="5"/>
      <c r="H109" s="5">
        <f t="shared" si="22"/>
        <v>-26864431</v>
      </c>
      <c r="I109" s="5"/>
      <c r="J109" s="5">
        <f t="shared" si="23"/>
        <v>0</v>
      </c>
      <c r="K109" s="5">
        <f t="shared" si="24"/>
        <v>0</v>
      </c>
      <c r="L109" s="5">
        <f t="shared" si="25"/>
        <v>-26864431.465</v>
      </c>
      <c r="M109" s="5">
        <f t="shared" si="26"/>
        <v>0</v>
      </c>
      <c r="N109" s="5"/>
      <c r="O109" s="5">
        <v>0</v>
      </c>
      <c r="P109" s="5">
        <v>0</v>
      </c>
      <c r="Q109" s="5">
        <v>-53728862.93</v>
      </c>
      <c r="R109" s="5">
        <v>0</v>
      </c>
      <c r="S109" s="5"/>
      <c r="T109" s="22">
        <v>0</v>
      </c>
      <c r="U109" s="29">
        <v>0</v>
      </c>
      <c r="V109" s="22">
        <v>0</v>
      </c>
      <c r="W109" s="22">
        <v>0</v>
      </c>
    </row>
    <row r="110" spans="1:23" ht="12.75">
      <c r="A110" s="16">
        <f t="shared" si="19"/>
        <v>94</v>
      </c>
      <c r="B110" s="3" t="s">
        <v>538</v>
      </c>
      <c r="C110" s="74" t="s">
        <v>546</v>
      </c>
      <c r="D110" s="5">
        <f t="shared" si="20"/>
        <v>84118147.47</v>
      </c>
      <c r="E110" s="5">
        <f t="shared" si="21"/>
        <v>0</v>
      </c>
      <c r="F110" s="5"/>
      <c r="G110" s="5"/>
      <c r="H110" s="5">
        <f t="shared" si="22"/>
        <v>42059074</v>
      </c>
      <c r="I110" s="5"/>
      <c r="J110" s="5">
        <f t="shared" si="23"/>
        <v>0</v>
      </c>
      <c r="K110" s="5">
        <f t="shared" si="24"/>
        <v>0</v>
      </c>
      <c r="L110" s="5">
        <f t="shared" si="25"/>
        <v>42059073.735</v>
      </c>
      <c r="M110" s="5">
        <f t="shared" si="26"/>
        <v>0</v>
      </c>
      <c r="N110" s="5"/>
      <c r="O110" s="5">
        <v>0</v>
      </c>
      <c r="P110" s="5">
        <v>0</v>
      </c>
      <c r="Q110" s="5">
        <v>84118147.47</v>
      </c>
      <c r="R110" s="5">
        <v>0</v>
      </c>
      <c r="S110" s="5"/>
      <c r="T110" s="22">
        <v>0</v>
      </c>
      <c r="U110" s="29">
        <v>0</v>
      </c>
      <c r="V110" s="22">
        <v>0</v>
      </c>
      <c r="W110" s="22">
        <v>0</v>
      </c>
    </row>
    <row r="111" spans="1:23" ht="12.75">
      <c r="A111" s="16">
        <f t="shared" si="19"/>
        <v>95</v>
      </c>
      <c r="B111" s="3" t="s">
        <v>538</v>
      </c>
      <c r="C111" s="74" t="s">
        <v>547</v>
      </c>
      <c r="D111" s="5">
        <f t="shared" si="20"/>
        <v>30256589.96</v>
      </c>
      <c r="E111" s="5">
        <f t="shared" si="21"/>
        <v>0</v>
      </c>
      <c r="F111" s="5"/>
      <c r="G111" s="5"/>
      <c r="H111" s="5">
        <f t="shared" si="22"/>
        <v>15128295</v>
      </c>
      <c r="I111" s="5"/>
      <c r="J111" s="5">
        <f t="shared" si="23"/>
        <v>0</v>
      </c>
      <c r="K111" s="5">
        <f t="shared" si="24"/>
        <v>0</v>
      </c>
      <c r="L111" s="5">
        <f t="shared" si="25"/>
        <v>15128294.98</v>
      </c>
      <c r="M111" s="5">
        <f t="shared" si="26"/>
        <v>0</v>
      </c>
      <c r="N111" s="5"/>
      <c r="O111" s="5">
        <v>0</v>
      </c>
      <c r="P111" s="5">
        <v>0</v>
      </c>
      <c r="Q111" s="5">
        <v>30256589.96</v>
      </c>
      <c r="R111" s="5">
        <v>0</v>
      </c>
      <c r="S111" s="5"/>
      <c r="T111" s="22">
        <v>0</v>
      </c>
      <c r="U111" s="29">
        <v>0</v>
      </c>
      <c r="V111" s="22">
        <v>0</v>
      </c>
      <c r="W111" s="22">
        <v>0</v>
      </c>
    </row>
    <row r="112" spans="1:23" ht="12.75">
      <c r="A112" s="16">
        <f t="shared" si="19"/>
        <v>96</v>
      </c>
      <c r="B112" s="3" t="s">
        <v>538</v>
      </c>
      <c r="C112" s="74" t="s">
        <v>548</v>
      </c>
      <c r="D112" s="5">
        <f t="shared" si="20"/>
        <v>1190000</v>
      </c>
      <c r="E112" s="5">
        <f t="shared" si="21"/>
        <v>0</v>
      </c>
      <c r="F112" s="5"/>
      <c r="G112" s="5"/>
      <c r="H112" s="5">
        <f t="shared" si="22"/>
        <v>595000</v>
      </c>
      <c r="I112" s="5"/>
      <c r="J112" s="5">
        <f t="shared" si="23"/>
        <v>0</v>
      </c>
      <c r="K112" s="5">
        <f t="shared" si="24"/>
        <v>0</v>
      </c>
      <c r="L112" s="5">
        <f t="shared" si="25"/>
        <v>595000</v>
      </c>
      <c r="M112" s="5">
        <f t="shared" si="26"/>
        <v>0</v>
      </c>
      <c r="N112" s="5"/>
      <c r="O112" s="5">
        <v>0</v>
      </c>
      <c r="P112" s="5">
        <v>0</v>
      </c>
      <c r="Q112" s="5">
        <v>1190000</v>
      </c>
      <c r="R112" s="5">
        <v>0</v>
      </c>
      <c r="S112" s="5"/>
      <c r="T112" s="22">
        <v>0</v>
      </c>
      <c r="U112" s="29">
        <v>0</v>
      </c>
      <c r="V112" s="22">
        <v>0</v>
      </c>
      <c r="W112" s="22">
        <v>0</v>
      </c>
    </row>
    <row r="113" spans="1:23" ht="12.75">
      <c r="A113" s="16">
        <f t="shared" si="19"/>
        <v>97</v>
      </c>
      <c r="B113" s="3" t="s">
        <v>538</v>
      </c>
      <c r="C113" s="74" t="s">
        <v>549</v>
      </c>
      <c r="D113" s="5">
        <f t="shared" si="20"/>
        <v>0</v>
      </c>
      <c r="E113" s="5">
        <f t="shared" si="21"/>
        <v>27465.95</v>
      </c>
      <c r="F113" s="5"/>
      <c r="G113" s="5"/>
      <c r="H113" s="5">
        <f t="shared" si="22"/>
        <v>13733</v>
      </c>
      <c r="I113" s="5"/>
      <c r="J113" s="5">
        <f t="shared" si="23"/>
        <v>0</v>
      </c>
      <c r="K113" s="5">
        <f t="shared" si="24"/>
        <v>0</v>
      </c>
      <c r="L113" s="5">
        <f t="shared" si="25"/>
        <v>13732.975</v>
      </c>
      <c r="M113" s="5">
        <f t="shared" si="26"/>
        <v>0</v>
      </c>
      <c r="N113" s="5"/>
      <c r="O113" s="5">
        <v>0</v>
      </c>
      <c r="P113" s="5">
        <v>0</v>
      </c>
      <c r="Q113" s="5">
        <v>0</v>
      </c>
      <c r="R113" s="5">
        <v>0</v>
      </c>
      <c r="S113" s="5"/>
      <c r="T113" s="22">
        <v>0</v>
      </c>
      <c r="U113" s="29">
        <v>0</v>
      </c>
      <c r="V113" s="22">
        <v>27465.95</v>
      </c>
      <c r="W113" s="22">
        <v>0</v>
      </c>
    </row>
    <row r="114" spans="1:23" ht="12.75">
      <c r="A114" s="16">
        <f aca="true" t="shared" si="27" ref="A114:A145">A113+1</f>
        <v>98</v>
      </c>
      <c r="B114" s="3" t="s">
        <v>550</v>
      </c>
      <c r="C114" s="74" t="s">
        <v>100</v>
      </c>
      <c r="D114" s="5">
        <f t="shared" si="20"/>
        <v>7483952.100000001</v>
      </c>
      <c r="E114" s="5">
        <f t="shared" si="21"/>
        <v>6992908.51</v>
      </c>
      <c r="F114" s="5"/>
      <c r="G114" s="5"/>
      <c r="H114" s="5">
        <f t="shared" si="22"/>
        <v>7238430</v>
      </c>
      <c r="I114" s="5"/>
      <c r="J114" s="5">
        <f t="shared" si="23"/>
        <v>5181036.33</v>
      </c>
      <c r="K114" s="5">
        <f t="shared" si="24"/>
        <v>328755.44999999995</v>
      </c>
      <c r="L114" s="5">
        <f t="shared" si="25"/>
        <v>1728638.525</v>
      </c>
      <c r="M114" s="5">
        <f t="shared" si="26"/>
        <v>0</v>
      </c>
      <c r="N114" s="5"/>
      <c r="O114" s="5">
        <v>5436140.74</v>
      </c>
      <c r="P114" s="5">
        <v>335123.5</v>
      </c>
      <c r="Q114" s="5">
        <v>1712687.86</v>
      </c>
      <c r="R114" s="5">
        <v>0</v>
      </c>
      <c r="S114" s="5"/>
      <c r="T114" s="22">
        <f>4568654.72+357277.2</f>
        <v>4925931.92</v>
      </c>
      <c r="U114" s="5">
        <f>286526.05+35861.35</f>
        <v>322387.39999999997</v>
      </c>
      <c r="V114" s="22">
        <f>981455.14+763134.05</f>
        <v>1744589.19</v>
      </c>
      <c r="W114" s="22">
        <v>0</v>
      </c>
    </row>
    <row r="115" spans="1:23" ht="12.75">
      <c r="A115" s="16">
        <f t="shared" si="27"/>
        <v>99</v>
      </c>
      <c r="B115" s="3" t="s">
        <v>551</v>
      </c>
      <c r="C115" s="37" t="s">
        <v>302</v>
      </c>
      <c r="D115" s="5">
        <f t="shared" si="20"/>
        <v>15084148.870000001</v>
      </c>
      <c r="E115" s="5">
        <f t="shared" si="21"/>
        <v>13478670.040000001</v>
      </c>
      <c r="F115" s="5"/>
      <c r="G115" s="5"/>
      <c r="H115" s="5">
        <f t="shared" si="22"/>
        <v>14281409</v>
      </c>
      <c r="I115" s="5"/>
      <c r="J115" s="5">
        <f t="shared" si="23"/>
        <v>6542785.755000001</v>
      </c>
      <c r="K115" s="5">
        <f t="shared" si="24"/>
        <v>1526492.3</v>
      </c>
      <c r="L115" s="5">
        <f t="shared" si="25"/>
        <v>6211481.43</v>
      </c>
      <c r="M115" s="5">
        <f t="shared" si="26"/>
        <v>649.97</v>
      </c>
      <c r="N115" s="5"/>
      <c r="O115" s="5">
        <v>6441523.11</v>
      </c>
      <c r="P115" s="5">
        <v>1696129.46</v>
      </c>
      <c r="Q115" s="5">
        <v>6945846.33</v>
      </c>
      <c r="R115" s="5">
        <v>649.97</v>
      </c>
      <c r="S115" s="5"/>
      <c r="T115" s="22">
        <f>4567708.28+2076340.12</f>
        <v>6644048.4</v>
      </c>
      <c r="U115" s="5">
        <f>957418.76+399436.38</f>
        <v>1356855.1400000001</v>
      </c>
      <c r="V115" s="22">
        <f>2749311.93+2727804.6</f>
        <v>5477116.53</v>
      </c>
      <c r="W115" s="22">
        <v>649.97</v>
      </c>
    </row>
    <row r="116" spans="1:23" ht="12.75">
      <c r="A116" s="16">
        <f t="shared" si="27"/>
        <v>100</v>
      </c>
      <c r="B116" s="3" t="s">
        <v>552</v>
      </c>
      <c r="C116" s="37" t="s">
        <v>43</v>
      </c>
      <c r="D116" s="5">
        <f t="shared" si="20"/>
        <v>5093062.91</v>
      </c>
      <c r="E116" s="5">
        <f t="shared" si="21"/>
        <v>4196602.54</v>
      </c>
      <c r="F116" s="5"/>
      <c r="G116" s="5"/>
      <c r="H116" s="5">
        <f t="shared" si="22"/>
        <v>4644833</v>
      </c>
      <c r="I116" s="5"/>
      <c r="J116" s="5">
        <f t="shared" si="23"/>
        <v>2.2</v>
      </c>
      <c r="K116" s="5">
        <f t="shared" si="24"/>
        <v>835348.72</v>
      </c>
      <c r="L116" s="5">
        <f t="shared" si="25"/>
        <v>3809481.8049999997</v>
      </c>
      <c r="M116" s="5">
        <f t="shared" si="26"/>
        <v>0</v>
      </c>
      <c r="N116" s="5"/>
      <c r="O116" s="5">
        <v>0</v>
      </c>
      <c r="P116" s="5">
        <v>643968.33</v>
      </c>
      <c r="Q116" s="5">
        <v>4449094.58</v>
      </c>
      <c r="R116" s="5">
        <v>0</v>
      </c>
      <c r="S116" s="5"/>
      <c r="T116" s="22">
        <v>4.4</v>
      </c>
      <c r="U116" s="5">
        <f>793215.57+233513.54</f>
        <v>1026729.11</v>
      </c>
      <c r="V116" s="22">
        <f>388695.36+2781173.67</f>
        <v>3169869.03</v>
      </c>
      <c r="W116" s="22">
        <v>0</v>
      </c>
    </row>
    <row r="117" spans="1:23" ht="12.75">
      <c r="A117" s="16">
        <f t="shared" si="27"/>
        <v>101</v>
      </c>
      <c r="B117" s="3"/>
      <c r="C117" s="37" t="s">
        <v>44</v>
      </c>
      <c r="D117" s="5">
        <f t="shared" si="20"/>
        <v>0</v>
      </c>
      <c r="E117" s="5">
        <f t="shared" si="21"/>
        <v>1.02</v>
      </c>
      <c r="F117" s="5"/>
      <c r="G117" s="5"/>
      <c r="H117" s="5">
        <f t="shared" si="22"/>
        <v>1</v>
      </c>
      <c r="I117" s="5"/>
      <c r="J117" s="5">
        <f t="shared" si="23"/>
        <v>0</v>
      </c>
      <c r="K117" s="5">
        <f t="shared" si="24"/>
        <v>0</v>
      </c>
      <c r="L117" s="5">
        <f t="shared" si="25"/>
        <v>0.51</v>
      </c>
      <c r="M117" s="5">
        <f t="shared" si="26"/>
        <v>0</v>
      </c>
      <c r="N117" s="5"/>
      <c r="O117" s="5">
        <v>0</v>
      </c>
      <c r="P117" s="5">
        <v>0</v>
      </c>
      <c r="Q117" s="5">
        <v>0</v>
      </c>
      <c r="R117" s="5">
        <v>0</v>
      </c>
      <c r="S117" s="5"/>
      <c r="T117" s="22">
        <v>0</v>
      </c>
      <c r="U117" s="5">
        <v>0</v>
      </c>
      <c r="V117" s="22">
        <f>1+0.02</f>
        <v>1.02</v>
      </c>
      <c r="W117" s="22">
        <v>0</v>
      </c>
    </row>
    <row r="118" spans="1:23" ht="12.75">
      <c r="A118" s="16">
        <f t="shared" si="27"/>
        <v>102</v>
      </c>
      <c r="B118" s="3" t="s">
        <v>553</v>
      </c>
      <c r="C118" s="74" t="s">
        <v>554</v>
      </c>
      <c r="D118" s="5">
        <f t="shared" si="20"/>
        <v>-12639227.319999998</v>
      </c>
      <c r="E118" s="5">
        <f t="shared" si="21"/>
        <v>-8474424.299999999</v>
      </c>
      <c r="F118" s="5"/>
      <c r="G118" s="5"/>
      <c r="H118" s="5">
        <f t="shared" si="22"/>
        <v>-10556826</v>
      </c>
      <c r="I118" s="5"/>
      <c r="J118" s="5">
        <f t="shared" si="23"/>
        <v>-5082962.675</v>
      </c>
      <c r="K118" s="5">
        <f t="shared" si="24"/>
        <v>-677210.77</v>
      </c>
      <c r="L118" s="5">
        <f t="shared" si="25"/>
        <v>-4738750.29</v>
      </c>
      <c r="M118" s="5">
        <f t="shared" si="26"/>
        <v>-57902.075</v>
      </c>
      <c r="N118" s="5"/>
      <c r="O118" s="5">
        <v>-6142787.35</v>
      </c>
      <c r="P118" s="5">
        <v>-805018.52</v>
      </c>
      <c r="Q118" s="5">
        <v>-5624634.8</v>
      </c>
      <c r="R118" s="5">
        <v>-66786.65</v>
      </c>
      <c r="S118" s="5"/>
      <c r="T118" s="22">
        <f>-2995183.8-1027954.2</f>
        <v>-4023138</v>
      </c>
      <c r="U118" s="5">
        <f>-409219.27-140183.75</f>
        <v>-549403.02</v>
      </c>
      <c r="V118" s="22">
        <f>-2161601.03-1691264.75</f>
        <v>-3852865.78</v>
      </c>
      <c r="W118" s="22">
        <v>-49017.5</v>
      </c>
    </row>
    <row r="119" spans="1:23" ht="12.75">
      <c r="A119" s="16">
        <f t="shared" si="27"/>
        <v>103</v>
      </c>
      <c r="B119" s="3" t="s">
        <v>555</v>
      </c>
      <c r="C119" s="37" t="s">
        <v>556</v>
      </c>
      <c r="D119" s="5">
        <f t="shared" si="20"/>
        <v>-0.05</v>
      </c>
      <c r="E119" s="5">
        <f t="shared" si="21"/>
        <v>497687</v>
      </c>
      <c r="F119" s="5"/>
      <c r="G119" s="5"/>
      <c r="H119" s="5">
        <f t="shared" si="22"/>
        <v>248843</v>
      </c>
      <c r="I119" s="5"/>
      <c r="J119" s="5">
        <f t="shared" si="23"/>
        <v>248843.475</v>
      </c>
      <c r="K119" s="5">
        <f t="shared" si="24"/>
        <v>0</v>
      </c>
      <c r="L119" s="5">
        <f t="shared" si="25"/>
        <v>0</v>
      </c>
      <c r="M119" s="5">
        <f t="shared" si="26"/>
        <v>0</v>
      </c>
      <c r="N119" s="5"/>
      <c r="O119" s="5">
        <v>-0.05</v>
      </c>
      <c r="P119" s="5">
        <v>0</v>
      </c>
      <c r="Q119" s="5">
        <v>0</v>
      </c>
      <c r="R119" s="5">
        <v>0</v>
      </c>
      <c r="S119" s="5"/>
      <c r="T119" s="22">
        <v>497687</v>
      </c>
      <c r="U119" s="5">
        <v>0</v>
      </c>
      <c r="V119" s="22">
        <v>0</v>
      </c>
      <c r="W119" s="22">
        <v>0</v>
      </c>
    </row>
    <row r="120" spans="1:23" ht="12.75">
      <c r="A120" s="16">
        <f t="shared" si="27"/>
        <v>104</v>
      </c>
      <c r="B120" s="3" t="s">
        <v>555</v>
      </c>
      <c r="C120" s="37" t="s">
        <v>138</v>
      </c>
      <c r="D120" s="5">
        <f t="shared" si="20"/>
        <v>1553300</v>
      </c>
      <c r="E120" s="5">
        <f t="shared" si="21"/>
        <v>0</v>
      </c>
      <c r="F120" s="5"/>
      <c r="G120" s="5"/>
      <c r="H120" s="5">
        <f t="shared" si="22"/>
        <v>776650</v>
      </c>
      <c r="I120" s="5"/>
      <c r="J120" s="5">
        <f t="shared" si="23"/>
        <v>776650</v>
      </c>
      <c r="K120" s="5">
        <f t="shared" si="24"/>
        <v>0</v>
      </c>
      <c r="L120" s="5">
        <f t="shared" si="25"/>
        <v>0</v>
      </c>
      <c r="M120" s="5">
        <f t="shared" si="26"/>
        <v>0</v>
      </c>
      <c r="N120" s="5"/>
      <c r="O120" s="5">
        <v>1553300</v>
      </c>
      <c r="P120" s="5">
        <v>0</v>
      </c>
      <c r="Q120" s="5">
        <v>0</v>
      </c>
      <c r="R120" s="5">
        <v>0</v>
      </c>
      <c r="S120" s="5"/>
      <c r="T120" s="22">
        <v>0</v>
      </c>
      <c r="U120" s="5">
        <v>0</v>
      </c>
      <c r="V120" s="22">
        <v>0</v>
      </c>
      <c r="W120" s="22">
        <v>0</v>
      </c>
    </row>
    <row r="121" spans="1:23" ht="12.75">
      <c r="A121" s="16">
        <f t="shared" si="27"/>
        <v>105</v>
      </c>
      <c r="B121" s="3" t="s">
        <v>557</v>
      </c>
      <c r="C121" s="37" t="s">
        <v>45</v>
      </c>
      <c r="D121" s="5">
        <f t="shared" si="20"/>
        <v>3034210.05</v>
      </c>
      <c r="E121" s="5">
        <f t="shared" si="21"/>
        <v>3138305.09</v>
      </c>
      <c r="F121" s="5"/>
      <c r="G121" s="5"/>
      <c r="H121" s="5">
        <f t="shared" si="22"/>
        <v>3086258</v>
      </c>
      <c r="I121" s="5"/>
      <c r="J121" s="5">
        <f t="shared" si="23"/>
        <v>0</v>
      </c>
      <c r="K121" s="5">
        <f t="shared" si="24"/>
        <v>471556.74</v>
      </c>
      <c r="L121" s="5">
        <f t="shared" si="25"/>
        <v>2614700.83</v>
      </c>
      <c r="M121" s="5">
        <f t="shared" si="26"/>
        <v>0</v>
      </c>
      <c r="N121" s="5"/>
      <c r="O121" s="5">
        <v>0</v>
      </c>
      <c r="P121" s="5">
        <v>531941.96</v>
      </c>
      <c r="Q121" s="5">
        <v>2502268.09</v>
      </c>
      <c r="R121" s="5">
        <v>0</v>
      </c>
      <c r="S121" s="5"/>
      <c r="T121" s="22">
        <v>0</v>
      </c>
      <c r="U121" s="5">
        <f>355116.77+56054.75</f>
        <v>411171.52</v>
      </c>
      <c r="V121" s="22">
        <f>1708866.64+1018266.93</f>
        <v>2727133.57</v>
      </c>
      <c r="W121" s="22">
        <v>0</v>
      </c>
    </row>
    <row r="122" spans="1:25" ht="12.75">
      <c r="A122" s="16">
        <f t="shared" si="27"/>
        <v>106</v>
      </c>
      <c r="B122" s="3"/>
      <c r="C122" s="37" t="s">
        <v>25</v>
      </c>
      <c r="D122" s="5">
        <v>374589.85000000003</v>
      </c>
      <c r="E122" s="5">
        <v>-30288918.25</v>
      </c>
      <c r="F122" s="5">
        <f aca="true" t="shared" si="28" ref="F122:G127">-D122</f>
        <v>-374589.85000000003</v>
      </c>
      <c r="G122" s="5">
        <f t="shared" si="28"/>
        <v>30288918.25</v>
      </c>
      <c r="H122" s="5">
        <f t="shared" si="22"/>
        <v>0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22"/>
      <c r="U122" s="5"/>
      <c r="V122" s="22"/>
      <c r="W122" s="22"/>
      <c r="X122" s="2"/>
      <c r="Y122" s="2"/>
    </row>
    <row r="123" spans="1:25" ht="12.75">
      <c r="A123" s="16">
        <f t="shared" si="27"/>
        <v>107</v>
      </c>
      <c r="B123" s="3"/>
      <c r="C123" s="37" t="s">
        <v>46</v>
      </c>
      <c r="D123" s="5">
        <v>67863512.14</v>
      </c>
      <c r="E123" s="5">
        <v>64773930.7</v>
      </c>
      <c r="F123" s="5">
        <f t="shared" si="28"/>
        <v>-67863512.14</v>
      </c>
      <c r="G123" s="5">
        <f t="shared" si="28"/>
        <v>-64773930.7</v>
      </c>
      <c r="H123" s="5">
        <f t="shared" si="22"/>
        <v>0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22"/>
      <c r="U123" s="5"/>
      <c r="V123" s="22"/>
      <c r="W123" s="22"/>
      <c r="X123" s="2"/>
      <c r="Y123" s="2"/>
    </row>
    <row r="124" spans="1:25" ht="12.75">
      <c r="A124" s="16">
        <f t="shared" si="27"/>
        <v>108</v>
      </c>
      <c r="B124" s="3"/>
      <c r="C124" s="37" t="s">
        <v>47</v>
      </c>
      <c r="D124" s="5">
        <v>0</v>
      </c>
      <c r="E124" s="5">
        <v>0</v>
      </c>
      <c r="F124" s="5">
        <f t="shared" si="28"/>
        <v>0</v>
      </c>
      <c r="G124" s="5">
        <f t="shared" si="28"/>
        <v>0</v>
      </c>
      <c r="H124" s="5">
        <f t="shared" si="22"/>
        <v>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22"/>
      <c r="U124" s="5"/>
      <c r="V124" s="22"/>
      <c r="W124" s="22"/>
      <c r="X124" s="2"/>
      <c r="Y124" s="2"/>
    </row>
    <row r="125" spans="1:25" ht="12.75">
      <c r="A125" s="16">
        <f t="shared" si="27"/>
        <v>109</v>
      </c>
      <c r="B125" s="3" t="s">
        <v>558</v>
      </c>
      <c r="C125" s="74" t="s">
        <v>559</v>
      </c>
      <c r="D125" s="5">
        <v>204368.5</v>
      </c>
      <c r="E125" s="5">
        <v>142184.18</v>
      </c>
      <c r="F125" s="5">
        <f t="shared" si="28"/>
        <v>-204368.5</v>
      </c>
      <c r="G125" s="5">
        <f t="shared" si="28"/>
        <v>-142184.18</v>
      </c>
      <c r="H125" s="5">
        <f t="shared" si="22"/>
        <v>0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22"/>
      <c r="U125" s="5"/>
      <c r="V125" s="22"/>
      <c r="W125" s="22"/>
      <c r="X125" s="2"/>
      <c r="Y125" s="2"/>
    </row>
    <row r="126" spans="1:25" ht="12.75">
      <c r="A126" s="16">
        <f t="shared" si="27"/>
        <v>110</v>
      </c>
      <c r="B126" s="3" t="s">
        <v>24</v>
      </c>
      <c r="C126" s="74" t="s">
        <v>560</v>
      </c>
      <c r="D126" s="5">
        <v>5177225.28</v>
      </c>
      <c r="E126" s="5">
        <v>5911405.88</v>
      </c>
      <c r="F126" s="5">
        <f t="shared" si="28"/>
        <v>-5177225.28</v>
      </c>
      <c r="G126" s="5">
        <f t="shared" si="28"/>
        <v>-5911405.88</v>
      </c>
      <c r="H126" s="5">
        <f t="shared" si="22"/>
        <v>0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22"/>
      <c r="U126" s="5"/>
      <c r="V126" s="22"/>
      <c r="W126" s="22"/>
      <c r="X126" s="2"/>
      <c r="Y126" s="2"/>
    </row>
    <row r="127" spans="1:25" ht="12.75">
      <c r="A127" s="16">
        <f t="shared" si="27"/>
        <v>111</v>
      </c>
      <c r="B127" s="3"/>
      <c r="C127" s="74" t="s">
        <v>561</v>
      </c>
      <c r="D127" s="5">
        <v>62584</v>
      </c>
      <c r="E127" s="5">
        <v>67640.32</v>
      </c>
      <c r="F127" s="5">
        <f t="shared" si="28"/>
        <v>-62584</v>
      </c>
      <c r="G127" s="5">
        <f t="shared" si="28"/>
        <v>-67640.32</v>
      </c>
      <c r="H127" s="5">
        <f t="shared" si="22"/>
        <v>0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22"/>
      <c r="U127" s="5"/>
      <c r="V127" s="22"/>
      <c r="W127" s="22"/>
      <c r="X127" s="2"/>
      <c r="Y127" s="2"/>
    </row>
    <row r="128" spans="1:25" ht="12.75">
      <c r="A128" s="16">
        <f t="shared" si="27"/>
        <v>112</v>
      </c>
      <c r="B128" s="3"/>
      <c r="C128" s="3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22"/>
      <c r="U128" s="5"/>
      <c r="V128" s="22"/>
      <c r="W128" s="22"/>
      <c r="X128" s="2"/>
      <c r="Y128" s="2"/>
    </row>
    <row r="129" spans="1:23" ht="13.5" thickBot="1">
      <c r="A129" s="16">
        <f t="shared" si="27"/>
        <v>113</v>
      </c>
      <c r="B129" s="3"/>
      <c r="C129" s="37"/>
      <c r="D129" s="17">
        <f>SUM(D68:D128)</f>
        <v>586154861.69</v>
      </c>
      <c r="E129" s="17">
        <f>SUM(E68:E128)</f>
        <v>489779520.82</v>
      </c>
      <c r="F129" s="17">
        <f>SUM(F68:F128)</f>
        <v>-73682279.77</v>
      </c>
      <c r="G129" s="17">
        <f>SUM(G68:G128)</f>
        <v>-40606242.830000006</v>
      </c>
      <c r="H129" s="17">
        <f>SUM(H68:H128)</f>
        <v>480822931</v>
      </c>
      <c r="I129" s="17"/>
      <c r="J129" s="17">
        <f>SUM(J68:J128)</f>
        <v>306463798.2249999</v>
      </c>
      <c r="K129" s="17">
        <f>SUM(K68:K128)</f>
        <v>22915814.88</v>
      </c>
      <c r="L129" s="17">
        <f>SUM(L68:L128)</f>
        <v>151192732.725</v>
      </c>
      <c r="M129" s="17">
        <f>SUM(M68:M128)</f>
        <v>250584.12499999994</v>
      </c>
      <c r="N129" s="17"/>
      <c r="O129" s="17">
        <f>SUM(O68:O128)</f>
        <v>321780530.22999996</v>
      </c>
      <c r="P129" s="17">
        <f>SUM(P68:P128)</f>
        <v>27203636.53</v>
      </c>
      <c r="Q129" s="17">
        <f>SUM(Q68:Q128)</f>
        <v>163204065.24000004</v>
      </c>
      <c r="R129" s="17">
        <f>SUM(R68:R128)</f>
        <v>284349.9199999999</v>
      </c>
      <c r="S129" s="5"/>
      <c r="T129" s="30">
        <f>SUM(T68:T128)</f>
        <v>291147066.21999997</v>
      </c>
      <c r="U129" s="30">
        <f>SUM(U68:U128)</f>
        <v>18627993.23</v>
      </c>
      <c r="V129" s="30">
        <f>SUM(V68:V128)</f>
        <v>139181400.21</v>
      </c>
      <c r="W129" s="30">
        <f>SUM(W68:W128)</f>
        <v>216818.32999999996</v>
      </c>
    </row>
    <row r="130" spans="1:23" ht="13.5" thickTop="1">
      <c r="A130" s="16">
        <f t="shared" si="27"/>
        <v>114</v>
      </c>
      <c r="B130" s="3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5"/>
      <c r="T130" s="31"/>
      <c r="U130" s="31"/>
      <c r="V130" s="68"/>
      <c r="W130" s="31"/>
    </row>
    <row r="131" spans="1:23" ht="12.75">
      <c r="A131" s="16">
        <f t="shared" si="27"/>
        <v>115</v>
      </c>
      <c r="B131" s="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6"/>
      <c r="P131" s="6"/>
      <c r="Q131" s="6"/>
      <c r="R131" s="6"/>
      <c r="S131" s="5"/>
      <c r="T131" s="29"/>
      <c r="U131" s="29"/>
      <c r="V131" s="67"/>
      <c r="W131" s="29"/>
    </row>
    <row r="132" spans="1:24" ht="12.75">
      <c r="A132" s="16">
        <f t="shared" si="27"/>
        <v>116</v>
      </c>
      <c r="B132" s="3"/>
      <c r="C132" s="3" t="s">
        <v>562</v>
      </c>
      <c r="D132" s="5">
        <f>SUM(O132:R132)</f>
        <v>82799127</v>
      </c>
      <c r="E132" s="5">
        <f>SUM(T132:W132)</f>
        <v>89996352</v>
      </c>
      <c r="F132" s="5"/>
      <c r="G132" s="5"/>
      <c r="H132" s="5">
        <f>ROUND(SUM(D132:G132)/2,0)</f>
        <v>86397740</v>
      </c>
      <c r="I132" s="69"/>
      <c r="J132" s="5">
        <f>(+O132+T132)/2</f>
        <v>79039904.5</v>
      </c>
      <c r="K132" s="5">
        <f>(+P132+U132)/2</f>
        <v>2599175</v>
      </c>
      <c r="L132" s="5">
        <f>(+Q132+V132)/2</f>
        <v>4770490</v>
      </c>
      <c r="M132" s="5">
        <f>(+R132+W132)/2</f>
        <v>-11830</v>
      </c>
      <c r="N132" s="69"/>
      <c r="O132" s="5">
        <f>51355293+22435899</f>
        <v>73791192</v>
      </c>
      <c r="P132" s="5">
        <v>2966143</v>
      </c>
      <c r="Q132" s="5">
        <v>6142103</v>
      </c>
      <c r="R132" s="5">
        <v>-100311</v>
      </c>
      <c r="S132" s="69"/>
      <c r="T132" s="22">
        <f>50120800+30326167+3841650</f>
        <v>84288617</v>
      </c>
      <c r="U132" s="5">
        <f>1068533+1163674</f>
        <v>2232207</v>
      </c>
      <c r="V132" s="22">
        <f>1116032+2282845</f>
        <v>3398877</v>
      </c>
      <c r="W132" s="22">
        <v>76651</v>
      </c>
      <c r="X132" s="2"/>
    </row>
    <row r="133" spans="1:24" ht="12.75">
      <c r="A133" s="16">
        <f t="shared" si="27"/>
        <v>117</v>
      </c>
      <c r="B133" s="3" t="s">
        <v>563</v>
      </c>
      <c r="C133" s="37" t="s">
        <v>50</v>
      </c>
      <c r="D133" s="5">
        <v>20412947</v>
      </c>
      <c r="E133" s="5">
        <v>17947839</v>
      </c>
      <c r="F133" s="5">
        <f>-D133</f>
        <v>-20412947</v>
      </c>
      <c r="G133" s="5">
        <f>-E133</f>
        <v>-17947839</v>
      </c>
      <c r="H133" s="5">
        <f>ROUND(SUM(D133:G133)/2,0)</f>
        <v>0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66"/>
      <c r="W133" s="5"/>
      <c r="X133" s="2"/>
    </row>
    <row r="134" spans="1:23" ht="12.75">
      <c r="A134" s="16">
        <f t="shared" si="27"/>
        <v>118</v>
      </c>
      <c r="B134" s="3" t="s">
        <v>564</v>
      </c>
      <c r="C134" s="3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29"/>
      <c r="U134" s="29"/>
      <c r="V134" s="67"/>
      <c r="W134" s="29"/>
    </row>
    <row r="135" spans="1:23" ht="13.5" thickBot="1">
      <c r="A135" s="16">
        <f t="shared" si="27"/>
        <v>119</v>
      </c>
      <c r="B135" s="3"/>
      <c r="C135" s="1" t="s">
        <v>49</v>
      </c>
      <c r="D135" s="17">
        <f>SUM(D129:D134)</f>
        <v>689366935.69</v>
      </c>
      <c r="E135" s="17">
        <f>SUM(E129:E134)</f>
        <v>597723711.8199999</v>
      </c>
      <c r="F135" s="17">
        <f>SUM(F129:F134)</f>
        <v>-94095226.77</v>
      </c>
      <c r="G135" s="17">
        <f>SUM(G129:G134)</f>
        <v>-58554081.830000006</v>
      </c>
      <c r="H135" s="17">
        <f>SUM(H129:H134)</f>
        <v>567220671</v>
      </c>
      <c r="I135" s="17"/>
      <c r="J135" s="17">
        <f>SUM(J129:J134)</f>
        <v>385503702.7249999</v>
      </c>
      <c r="K135" s="17">
        <f>SUM(K129:K134)</f>
        <v>25514989.88</v>
      </c>
      <c r="L135" s="17">
        <f>SUM(L129:L134)</f>
        <v>155963222.725</v>
      </c>
      <c r="M135" s="17">
        <f>SUM(M129:M134)</f>
        <v>238754.12499999994</v>
      </c>
      <c r="N135" s="77" t="s">
        <v>24</v>
      </c>
      <c r="O135" s="17">
        <f>SUM(O129:O134)</f>
        <v>395571722.22999996</v>
      </c>
      <c r="P135" s="17">
        <f>SUM(P129:P134)</f>
        <v>30169779.53</v>
      </c>
      <c r="Q135" s="17">
        <f>SUM(Q129:Q134)</f>
        <v>169346168.24000004</v>
      </c>
      <c r="R135" s="17">
        <f>SUM(R129:R134)</f>
        <v>184038.91999999993</v>
      </c>
      <c r="S135" s="77" t="s">
        <v>24</v>
      </c>
      <c r="T135" s="35">
        <f>SUM(T129:T134)</f>
        <v>375435683.21999997</v>
      </c>
      <c r="U135" s="35">
        <f>SUM(U129:U134)</f>
        <v>20860200.23</v>
      </c>
      <c r="V135" s="35">
        <f>SUM(V129:V134)</f>
        <v>142580277.21</v>
      </c>
      <c r="W135" s="35">
        <f>SUM(W129:W134)</f>
        <v>293469.32999999996</v>
      </c>
    </row>
    <row r="136" spans="1:23" ht="13.5" thickTop="1">
      <c r="A136" s="16">
        <f t="shared" si="27"/>
        <v>120</v>
      </c>
      <c r="B136" s="3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5"/>
      <c r="T136" s="68"/>
      <c r="U136" s="31"/>
      <c r="V136" s="31"/>
      <c r="W136" s="31"/>
    </row>
    <row r="137" spans="1:23" ht="12.75">
      <c r="A137" s="16">
        <f t="shared" si="27"/>
        <v>121</v>
      </c>
      <c r="B137" s="3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67"/>
      <c r="U137" s="29"/>
      <c r="V137" s="29"/>
      <c r="W137" s="29"/>
    </row>
    <row r="138" spans="1:23" ht="12.75">
      <c r="A138" s="16">
        <f t="shared" si="27"/>
        <v>122</v>
      </c>
      <c r="B138" s="3"/>
      <c r="C138" s="1" t="s">
        <v>51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67"/>
      <c r="U138" s="29"/>
      <c r="V138" s="29"/>
      <c r="W138" s="29"/>
    </row>
    <row r="139" spans="1:23" ht="12.75">
      <c r="A139" s="16">
        <f t="shared" si="27"/>
        <v>123</v>
      </c>
      <c r="B139" s="3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67"/>
      <c r="U139" s="29"/>
      <c r="V139" s="29"/>
      <c r="W139" s="29"/>
    </row>
    <row r="140" spans="1:23" ht="12.75">
      <c r="A140" s="16">
        <f t="shared" si="27"/>
        <v>124</v>
      </c>
      <c r="B140" s="3"/>
      <c r="C140" s="1" t="s">
        <v>52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67"/>
      <c r="U140" s="29"/>
      <c r="V140" s="29"/>
      <c r="W140" s="29"/>
    </row>
    <row r="141" spans="1:23" ht="12.75">
      <c r="A141" s="16">
        <f t="shared" si="27"/>
        <v>125</v>
      </c>
      <c r="B141" s="3"/>
      <c r="D141" s="5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5"/>
      <c r="P141" s="5"/>
      <c r="Q141" s="5"/>
      <c r="R141" s="5"/>
      <c r="S141" s="5"/>
      <c r="T141" s="67"/>
      <c r="U141" s="29"/>
      <c r="V141" s="29"/>
      <c r="W141" s="29"/>
    </row>
    <row r="142" spans="1:23" ht="12.75">
      <c r="A142" s="16">
        <f t="shared" si="27"/>
        <v>126</v>
      </c>
      <c r="B142" s="3"/>
      <c r="C142" s="1" t="s">
        <v>53</v>
      </c>
      <c r="D142" s="5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5"/>
      <c r="P142" s="5"/>
      <c r="Q142" s="5"/>
      <c r="R142" s="5"/>
      <c r="S142" s="5"/>
      <c r="T142" s="67"/>
      <c r="U142" s="29"/>
      <c r="V142" s="29"/>
      <c r="W142" s="29"/>
    </row>
    <row r="143" spans="1:23" ht="12.75">
      <c r="A143" s="16">
        <f t="shared" si="27"/>
        <v>127</v>
      </c>
      <c r="B143" s="3"/>
      <c r="C143" s="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29"/>
      <c r="U143" s="29"/>
      <c r="V143" s="29"/>
      <c r="W143" s="29"/>
    </row>
    <row r="144" spans="1:23" ht="12.75">
      <c r="A144" s="16">
        <f t="shared" si="27"/>
        <v>128</v>
      </c>
      <c r="B144" s="3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29"/>
      <c r="U144" s="29"/>
      <c r="V144" s="29"/>
      <c r="W144" s="29"/>
    </row>
    <row r="145" spans="1:23" ht="12.75">
      <c r="A145" s="16">
        <f t="shared" si="27"/>
        <v>129</v>
      </c>
      <c r="B145" s="3"/>
      <c r="C145" s="3" t="s">
        <v>54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29"/>
      <c r="U145" s="29"/>
      <c r="V145" s="29"/>
      <c r="W145" s="29"/>
    </row>
    <row r="146" spans="1:23" ht="12.75">
      <c r="A146" s="16">
        <f aca="true" t="shared" si="29" ref="A146:A153">A145+1</f>
        <v>130</v>
      </c>
      <c r="B146" s="3"/>
      <c r="C146" s="3" t="s">
        <v>55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29"/>
      <c r="U146" s="29"/>
      <c r="V146" s="29"/>
      <c r="W146" s="29"/>
    </row>
    <row r="147" spans="1:23" ht="12.75">
      <c r="A147" s="16">
        <f t="shared" si="29"/>
        <v>131</v>
      </c>
      <c r="B147" s="3"/>
      <c r="C147" s="3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.75">
      <c r="A148" s="16">
        <f t="shared" si="29"/>
        <v>132</v>
      </c>
      <c r="B148" s="3"/>
      <c r="C148" s="3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.75">
      <c r="A149" s="16">
        <f t="shared" si="29"/>
        <v>133</v>
      </c>
      <c r="B149" s="3"/>
      <c r="C149" s="3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75">
      <c r="A150" s="16">
        <f t="shared" si="29"/>
        <v>134</v>
      </c>
      <c r="B150" s="3" t="s">
        <v>565</v>
      </c>
      <c r="C150" s="37" t="s">
        <v>566</v>
      </c>
      <c r="D150" s="5">
        <f>SUM(O150:Q150)</f>
        <v>549293</v>
      </c>
      <c r="E150" s="5">
        <f>SUM(T150:V150)</f>
        <v>1060832</v>
      </c>
      <c r="F150" s="5"/>
      <c r="G150" s="5"/>
      <c r="H150" s="5">
        <f>ROUND(SUM(D150:G150)/2,0)</f>
        <v>805063</v>
      </c>
      <c r="I150" s="5"/>
      <c r="J150" s="5">
        <f>(+O150+T150)/2</f>
        <v>0</v>
      </c>
      <c r="K150" s="5">
        <f>(+P150+U150)/2</f>
        <v>487586.5</v>
      </c>
      <c r="L150" s="5">
        <f>(+Q150+V150)/2</f>
        <v>317476</v>
      </c>
      <c r="M150" s="5">
        <f>(+R150+W150)/2</f>
        <v>0</v>
      </c>
      <c r="N150" s="5"/>
      <c r="O150" s="5">
        <v>0</v>
      </c>
      <c r="P150" s="5">
        <v>337695</v>
      </c>
      <c r="Q150" s="5">
        <v>211598</v>
      </c>
      <c r="R150" s="5">
        <v>0</v>
      </c>
      <c r="S150" s="5"/>
      <c r="T150" s="5">
        <v>0</v>
      </c>
      <c r="U150" s="5">
        <v>637478</v>
      </c>
      <c r="V150" s="5">
        <v>423354</v>
      </c>
      <c r="W150" s="29">
        <v>0</v>
      </c>
    </row>
    <row r="151" spans="1:23" ht="12.75">
      <c r="A151" s="16">
        <f t="shared" si="29"/>
        <v>135</v>
      </c>
      <c r="B151" s="3"/>
      <c r="C151" s="3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.75">
      <c r="A152" s="16">
        <f t="shared" si="29"/>
        <v>136</v>
      </c>
      <c r="B152" s="3"/>
      <c r="C152" s="7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3.5" thickBot="1">
      <c r="A153" s="16">
        <f t="shared" si="29"/>
        <v>137</v>
      </c>
      <c r="C153" s="3" t="s">
        <v>56</v>
      </c>
      <c r="D153" s="17">
        <f>SUM(D147:D152)</f>
        <v>549293</v>
      </c>
      <c r="E153" s="17">
        <f>SUM(E147:E152)</f>
        <v>1060832</v>
      </c>
      <c r="F153" s="17">
        <f>SUM(F147:F152)</f>
        <v>0</v>
      </c>
      <c r="G153" s="17">
        <f>SUM(G147:G152)</f>
        <v>0</v>
      </c>
      <c r="H153" s="17">
        <f>SUM(H147:H152)</f>
        <v>805063</v>
      </c>
      <c r="I153" s="17"/>
      <c r="J153" s="17">
        <f>SUM(J147:J152)</f>
        <v>0</v>
      </c>
      <c r="K153" s="17">
        <f>SUM(K147:K152)</f>
        <v>487586.5</v>
      </c>
      <c r="L153" s="17">
        <f>SUM(L147:L152)</f>
        <v>317476</v>
      </c>
      <c r="M153" s="17">
        <f>SUM(M147:M152)</f>
        <v>0</v>
      </c>
      <c r="N153" s="17"/>
      <c r="O153" s="17">
        <f>SUM(O147:O152)</f>
        <v>0</v>
      </c>
      <c r="P153" s="17">
        <f>SUM(P147:P152)</f>
        <v>337695</v>
      </c>
      <c r="Q153" s="17">
        <f>SUM(Q147:Q152)</f>
        <v>211598</v>
      </c>
      <c r="R153" s="17">
        <f>SUM(R147:R152)</f>
        <v>0</v>
      </c>
      <c r="S153" s="5"/>
      <c r="T153" s="35">
        <f>SUM(T147:T152)</f>
        <v>0</v>
      </c>
      <c r="U153" s="35">
        <f>SUM(U147:U152)</f>
        <v>637478</v>
      </c>
      <c r="V153" s="35">
        <f>SUM(V147:V152)</f>
        <v>423354</v>
      </c>
      <c r="W153" s="35">
        <f>SUM(W147:W152)</f>
        <v>0</v>
      </c>
    </row>
    <row r="154" spans="1:23" ht="13.5" thickTop="1">
      <c r="A154" s="78" t="s">
        <v>24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5"/>
      <c r="T154" s="31"/>
      <c r="U154" s="31"/>
      <c r="V154" s="31"/>
      <c r="W154" s="31"/>
    </row>
    <row r="155" spans="1:23" ht="12.75">
      <c r="A155" s="78" t="s">
        <v>24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 t="s">
        <v>24</v>
      </c>
      <c r="P155" s="79"/>
      <c r="Q155" s="6" t="s">
        <v>24</v>
      </c>
      <c r="R155" s="6"/>
      <c r="S155" s="5"/>
      <c r="T155" s="29"/>
      <c r="U155" s="29"/>
      <c r="V155" s="29"/>
      <c r="W155" s="29"/>
    </row>
    <row r="156" spans="1:23" ht="12.75">
      <c r="A156" s="78" t="s">
        <v>24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29"/>
      <c r="U156" s="29"/>
      <c r="V156" s="29"/>
      <c r="W156" s="29"/>
    </row>
    <row r="157" spans="1:23" ht="12.75">
      <c r="A157" s="1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29"/>
      <c r="U157" s="29"/>
      <c r="V157" s="29"/>
      <c r="W157" s="29"/>
    </row>
    <row r="158" spans="1:23" ht="12.75">
      <c r="A158" s="1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29"/>
      <c r="U158" s="29"/>
      <c r="V158" s="29"/>
      <c r="W158" s="29"/>
    </row>
    <row r="159" spans="4:23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29"/>
      <c r="U159" s="29"/>
      <c r="V159" s="29"/>
      <c r="W159" s="29"/>
    </row>
    <row r="160" spans="4:23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29"/>
      <c r="U160" s="29"/>
      <c r="V160" s="29"/>
      <c r="W160" s="29"/>
    </row>
    <row r="161" spans="4:23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29"/>
      <c r="U161" s="29"/>
      <c r="V161" s="29"/>
      <c r="W161" s="29"/>
    </row>
    <row r="162" spans="4:23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29"/>
      <c r="U162" s="29"/>
      <c r="V162" s="29"/>
      <c r="W162" s="29"/>
    </row>
    <row r="163" spans="4:23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29"/>
      <c r="U163" s="29"/>
      <c r="V163" s="29"/>
      <c r="W163" s="29"/>
    </row>
    <row r="164" spans="4:23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29"/>
      <c r="U164" s="29"/>
      <c r="V164" s="29"/>
      <c r="W164" s="29"/>
    </row>
    <row r="165" spans="4:23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29"/>
      <c r="U165" s="29"/>
      <c r="V165" s="29"/>
      <c r="W165" s="29"/>
    </row>
    <row r="166" spans="4:23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29"/>
      <c r="U166" s="29"/>
      <c r="V166" s="29"/>
      <c r="W166" s="29"/>
    </row>
    <row r="167" spans="4:23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29"/>
      <c r="U167" s="29"/>
      <c r="V167" s="29"/>
      <c r="W167" s="29"/>
    </row>
    <row r="168" spans="4:23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29"/>
      <c r="U168" s="29"/>
      <c r="V168" s="29"/>
      <c r="W168" s="29"/>
    </row>
    <row r="169" spans="4:23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29"/>
      <c r="U169" s="29"/>
      <c r="V169" s="29"/>
      <c r="W169" s="29"/>
    </row>
    <row r="170" spans="4:23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29"/>
      <c r="U170" s="29"/>
      <c r="V170" s="29"/>
      <c r="W170" s="29"/>
    </row>
    <row r="171" spans="4:23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29"/>
      <c r="U171" s="29"/>
      <c r="V171" s="29"/>
      <c r="W171" s="29"/>
    </row>
    <row r="172" spans="4:23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29"/>
      <c r="U172" s="29"/>
      <c r="V172" s="29"/>
      <c r="W172" s="29"/>
    </row>
    <row r="173" spans="4:23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29"/>
      <c r="U173" s="29"/>
      <c r="V173" s="29"/>
      <c r="W173" s="29"/>
    </row>
    <row r="174" spans="4:23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29"/>
      <c r="U174" s="29"/>
      <c r="V174" s="29"/>
      <c r="W174" s="29"/>
    </row>
    <row r="175" spans="4:23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29"/>
      <c r="U175" s="29"/>
      <c r="V175" s="29"/>
      <c r="W175" s="29"/>
    </row>
    <row r="176" spans="4:23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29"/>
      <c r="U176" s="29"/>
      <c r="V176" s="29"/>
      <c r="W176" s="29"/>
    </row>
    <row r="177" spans="4:23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29"/>
      <c r="U177" s="29"/>
      <c r="V177" s="29"/>
      <c r="W177" s="29"/>
    </row>
    <row r="178" spans="4:23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29"/>
      <c r="U178" s="29"/>
      <c r="V178" s="29"/>
      <c r="W178" s="29"/>
    </row>
    <row r="179" spans="4:23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29"/>
      <c r="U179" s="29"/>
      <c r="V179" s="29"/>
      <c r="W179" s="29"/>
    </row>
    <row r="180" spans="4:23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29"/>
      <c r="U180" s="29"/>
      <c r="V180" s="29"/>
      <c r="W180" s="29"/>
    </row>
    <row r="181" spans="4:23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29"/>
      <c r="U181" s="29"/>
      <c r="V181" s="29"/>
      <c r="W181" s="29"/>
    </row>
    <row r="182" spans="4:23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29"/>
      <c r="U182" s="29"/>
      <c r="V182" s="29"/>
      <c r="W182" s="29"/>
    </row>
    <row r="183" spans="4:23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29"/>
      <c r="U183" s="29"/>
      <c r="V183" s="29"/>
      <c r="W183" s="29"/>
    </row>
    <row r="184" spans="4:23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29"/>
      <c r="U184" s="29"/>
      <c r="V184" s="29"/>
      <c r="W184" s="29"/>
    </row>
    <row r="185" spans="4:23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29"/>
      <c r="U185" s="29"/>
      <c r="V185" s="29"/>
      <c r="W185" s="29"/>
    </row>
    <row r="186" spans="4:23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29"/>
      <c r="U186" s="29"/>
      <c r="V186" s="29"/>
      <c r="W186" s="29"/>
    </row>
    <row r="187" spans="4:23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29"/>
      <c r="U187" s="29"/>
      <c r="V187" s="29"/>
      <c r="W187" s="29"/>
    </row>
    <row r="188" spans="4:23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29"/>
      <c r="U188" s="29"/>
      <c r="V188" s="29"/>
      <c r="W188" s="29"/>
    </row>
    <row r="189" spans="4:23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29"/>
      <c r="U189" s="29"/>
      <c r="V189" s="29"/>
      <c r="W189" s="29"/>
    </row>
    <row r="190" spans="4:23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29"/>
      <c r="U190" s="29"/>
      <c r="V190" s="29"/>
      <c r="W190" s="29"/>
    </row>
    <row r="191" spans="4:23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29"/>
      <c r="U191" s="29"/>
      <c r="V191" s="29"/>
      <c r="W191" s="29"/>
    </row>
    <row r="192" spans="4:23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29"/>
      <c r="U192" s="29"/>
      <c r="V192" s="29"/>
      <c r="W192" s="29"/>
    </row>
    <row r="193" spans="4:23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29"/>
      <c r="U193" s="29"/>
      <c r="V193" s="29"/>
      <c r="W193" s="29"/>
    </row>
    <row r="194" spans="4:23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29"/>
      <c r="U194" s="29"/>
      <c r="V194" s="29"/>
      <c r="W194" s="29"/>
    </row>
    <row r="195" spans="4:23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29"/>
      <c r="U195" s="29"/>
      <c r="V195" s="29"/>
      <c r="W195" s="29"/>
    </row>
    <row r="196" spans="4:23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29"/>
      <c r="U196" s="29"/>
      <c r="V196" s="29"/>
      <c r="W196" s="29"/>
    </row>
    <row r="197" spans="4:23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29"/>
      <c r="U197" s="29"/>
      <c r="V197" s="29"/>
      <c r="W197" s="29"/>
    </row>
    <row r="198" spans="4:23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29"/>
      <c r="U198" s="29"/>
      <c r="V198" s="29"/>
      <c r="W198" s="29"/>
    </row>
    <row r="199" spans="4:23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29"/>
      <c r="U199" s="29"/>
      <c r="V199" s="29"/>
      <c r="W199" s="29"/>
    </row>
    <row r="200" spans="4:23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29"/>
      <c r="U200" s="29"/>
      <c r="V200" s="29"/>
      <c r="W200" s="29"/>
    </row>
    <row r="201" spans="4:23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29"/>
      <c r="U201" s="29"/>
      <c r="V201" s="29"/>
      <c r="W201" s="29"/>
    </row>
    <row r="202" spans="4:23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29"/>
      <c r="U202" s="29"/>
      <c r="V202" s="29"/>
      <c r="W202" s="29"/>
    </row>
    <row r="203" spans="4:23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29"/>
      <c r="U203" s="29"/>
      <c r="V203" s="29"/>
      <c r="W203" s="29"/>
    </row>
    <row r="204" spans="4:23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29"/>
      <c r="U204" s="29"/>
      <c r="V204" s="29"/>
      <c r="W204" s="29"/>
    </row>
    <row r="205" spans="4:23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29"/>
      <c r="U205" s="29"/>
      <c r="V205" s="29"/>
      <c r="W205" s="29"/>
    </row>
    <row r="206" spans="4:23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29"/>
      <c r="U206" s="29"/>
      <c r="V206" s="29"/>
      <c r="W206" s="29"/>
    </row>
    <row r="207" spans="4:23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29"/>
      <c r="U207" s="29"/>
      <c r="V207" s="29"/>
      <c r="W207" s="29"/>
    </row>
    <row r="208" spans="4:23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29"/>
      <c r="U208" s="29"/>
      <c r="V208" s="29"/>
      <c r="W208" s="29"/>
    </row>
    <row r="209" spans="4:23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29"/>
      <c r="U209" s="29"/>
      <c r="V209" s="29"/>
      <c r="W209" s="29"/>
    </row>
    <row r="210" spans="4:23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29"/>
      <c r="U210" s="29"/>
      <c r="V210" s="29"/>
      <c r="W210" s="29"/>
    </row>
    <row r="211" spans="4:23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29"/>
      <c r="U211" s="29"/>
      <c r="V211" s="29"/>
      <c r="W211" s="29"/>
    </row>
    <row r="212" spans="4:23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29"/>
      <c r="U212" s="29"/>
      <c r="V212" s="29"/>
      <c r="W212" s="29"/>
    </row>
    <row r="213" spans="4:23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29"/>
      <c r="U213" s="29"/>
      <c r="V213" s="29"/>
      <c r="W213" s="29"/>
    </row>
    <row r="214" spans="4:23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29"/>
      <c r="U214" s="29"/>
      <c r="V214" s="29"/>
      <c r="W214" s="29"/>
    </row>
    <row r="215" spans="4:23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29"/>
      <c r="U215" s="29"/>
      <c r="V215" s="29"/>
      <c r="W215" s="29"/>
    </row>
    <row r="216" spans="4:23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29"/>
      <c r="U216" s="29"/>
      <c r="V216" s="29"/>
      <c r="W216" s="29"/>
    </row>
    <row r="217" spans="4:23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29"/>
      <c r="U217" s="29"/>
      <c r="V217" s="29"/>
      <c r="W217" s="29"/>
    </row>
    <row r="218" spans="4:23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29"/>
      <c r="U218" s="29"/>
      <c r="V218" s="29"/>
      <c r="W218" s="29"/>
    </row>
    <row r="219" spans="4:23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29"/>
      <c r="U219" s="29"/>
      <c r="V219" s="29"/>
      <c r="W219" s="29"/>
    </row>
    <row r="220" spans="4:23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29"/>
      <c r="U220" s="29"/>
      <c r="V220" s="29"/>
      <c r="W220" s="29"/>
    </row>
    <row r="221" spans="4:23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29"/>
      <c r="U221" s="29"/>
      <c r="V221" s="29"/>
      <c r="W221" s="29"/>
    </row>
    <row r="222" spans="4:23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29"/>
      <c r="U222" s="29"/>
      <c r="V222" s="29"/>
      <c r="W222" s="29"/>
    </row>
    <row r="223" spans="4:23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29"/>
      <c r="U223" s="29"/>
      <c r="V223" s="29"/>
      <c r="W223" s="29"/>
    </row>
    <row r="224" spans="4:23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29"/>
      <c r="U224" s="29"/>
      <c r="V224" s="29"/>
      <c r="W224" s="29"/>
    </row>
    <row r="225" spans="4:23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29"/>
      <c r="U225" s="29"/>
      <c r="V225" s="29"/>
      <c r="W225" s="29"/>
    </row>
    <row r="226" spans="4:23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29"/>
      <c r="U226" s="29"/>
      <c r="V226" s="29"/>
      <c r="W226" s="29"/>
    </row>
    <row r="227" spans="4:23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29"/>
      <c r="U227" s="29"/>
      <c r="V227" s="29"/>
      <c r="W227" s="29"/>
    </row>
    <row r="228" spans="4:23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29"/>
      <c r="U228" s="29"/>
      <c r="V228" s="29"/>
      <c r="W228" s="29"/>
    </row>
    <row r="229" spans="4:23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29"/>
      <c r="U229" s="29"/>
      <c r="V229" s="29"/>
      <c r="W229" s="29"/>
    </row>
    <row r="230" spans="4:23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29"/>
      <c r="U230" s="29"/>
      <c r="V230" s="29"/>
      <c r="W230" s="29"/>
    </row>
    <row r="231" spans="4:23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29"/>
      <c r="U231" s="29"/>
      <c r="V231" s="29"/>
      <c r="W231" s="29"/>
    </row>
    <row r="232" spans="4:23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29"/>
      <c r="U232" s="29"/>
      <c r="V232" s="29"/>
      <c r="W232" s="29"/>
    </row>
    <row r="233" spans="4:23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29"/>
      <c r="U233" s="29"/>
      <c r="V233" s="29"/>
      <c r="W233" s="29"/>
    </row>
    <row r="234" spans="4:23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29"/>
      <c r="U234" s="29"/>
      <c r="V234" s="29"/>
      <c r="W234" s="29"/>
    </row>
    <row r="235" spans="4:23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29"/>
      <c r="U235" s="29"/>
      <c r="V235" s="29"/>
      <c r="W235" s="29"/>
    </row>
    <row r="236" spans="4:23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29"/>
      <c r="U236" s="29"/>
      <c r="V236" s="29"/>
      <c r="W236" s="29"/>
    </row>
    <row r="237" spans="4:23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29"/>
      <c r="U237" s="29"/>
      <c r="V237" s="29"/>
      <c r="W237" s="29"/>
    </row>
    <row r="238" spans="4:23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29"/>
      <c r="U238" s="29"/>
      <c r="V238" s="29"/>
      <c r="W238" s="29"/>
    </row>
    <row r="239" spans="4:23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29"/>
      <c r="U239" s="29"/>
      <c r="V239" s="29"/>
      <c r="W239" s="29"/>
    </row>
    <row r="240" spans="4:23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29"/>
      <c r="U240" s="29"/>
      <c r="V240" s="29"/>
      <c r="W240" s="29"/>
    </row>
    <row r="241" spans="4:23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29"/>
      <c r="U241" s="29"/>
      <c r="V241" s="29"/>
      <c r="W241" s="29"/>
    </row>
    <row r="242" spans="4:23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29"/>
      <c r="U242" s="29"/>
      <c r="V242" s="29"/>
      <c r="W242" s="29"/>
    </row>
    <row r="243" spans="4:23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29"/>
      <c r="U243" s="29"/>
      <c r="V243" s="29"/>
      <c r="W243" s="29"/>
    </row>
    <row r="244" spans="4:23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29"/>
      <c r="U244" s="29"/>
      <c r="V244" s="29"/>
      <c r="W244" s="29"/>
    </row>
    <row r="245" spans="4:23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29"/>
      <c r="U245" s="29"/>
      <c r="V245" s="29"/>
      <c r="W245" s="29"/>
    </row>
    <row r="246" spans="4:23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29"/>
      <c r="U246" s="29"/>
      <c r="V246" s="29"/>
      <c r="W246" s="29"/>
    </row>
    <row r="247" spans="4:23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29"/>
      <c r="U247" s="29"/>
      <c r="V247" s="29"/>
      <c r="W247" s="29"/>
    </row>
    <row r="248" spans="4:23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29"/>
      <c r="U248" s="29"/>
      <c r="V248" s="29"/>
      <c r="W248" s="29"/>
    </row>
    <row r="249" spans="4:23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29"/>
      <c r="U249" s="29"/>
      <c r="V249" s="29"/>
      <c r="W249" s="29"/>
    </row>
    <row r="250" spans="4:23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29"/>
      <c r="U250" s="29"/>
      <c r="V250" s="29"/>
      <c r="W250" s="29"/>
    </row>
    <row r="251" spans="4:23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29"/>
      <c r="U251" s="29"/>
      <c r="V251" s="29"/>
      <c r="W251" s="29"/>
    </row>
    <row r="252" spans="4:23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29"/>
      <c r="U252" s="29"/>
      <c r="V252" s="29"/>
      <c r="W252" s="29"/>
    </row>
    <row r="253" spans="4:23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29"/>
      <c r="U253" s="29"/>
      <c r="V253" s="29"/>
      <c r="W253" s="29"/>
    </row>
    <row r="254" spans="4:23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29"/>
      <c r="U254" s="29"/>
      <c r="V254" s="29"/>
      <c r="W254" s="29"/>
    </row>
    <row r="255" spans="4:23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29"/>
      <c r="U255" s="29"/>
      <c r="V255" s="29"/>
      <c r="W255" s="29"/>
    </row>
    <row r="256" spans="4:23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29"/>
      <c r="U256" s="29"/>
      <c r="V256" s="29"/>
      <c r="W256" s="29"/>
    </row>
    <row r="257" spans="4:23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29"/>
      <c r="U257" s="29"/>
      <c r="V257" s="29"/>
      <c r="W257" s="29"/>
    </row>
    <row r="258" spans="4:23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29"/>
      <c r="U258" s="29"/>
      <c r="V258" s="29"/>
      <c r="W258" s="29"/>
    </row>
    <row r="259" spans="4:23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29"/>
      <c r="U259" s="29"/>
      <c r="V259" s="29"/>
      <c r="W259" s="29"/>
    </row>
    <row r="260" spans="4:23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29"/>
      <c r="U260" s="29"/>
      <c r="V260" s="29"/>
      <c r="W260" s="29"/>
    </row>
    <row r="261" spans="4:23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29"/>
      <c r="U261" s="29"/>
      <c r="V261" s="29"/>
      <c r="W261" s="29"/>
    </row>
    <row r="262" spans="4:23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29"/>
      <c r="U262" s="29"/>
      <c r="V262" s="29"/>
      <c r="W262" s="29"/>
    </row>
    <row r="263" spans="4:23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29"/>
      <c r="U263" s="29"/>
      <c r="V263" s="29"/>
      <c r="W263" s="29"/>
    </row>
    <row r="264" spans="4:23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29"/>
      <c r="U264" s="29"/>
      <c r="V264" s="29"/>
      <c r="W264" s="29"/>
    </row>
    <row r="265" spans="4:23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29"/>
      <c r="U265" s="29"/>
      <c r="V265" s="29"/>
      <c r="W265" s="29"/>
    </row>
    <row r="266" spans="4:23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29"/>
      <c r="U266" s="29"/>
      <c r="V266" s="29"/>
      <c r="W266" s="29"/>
    </row>
    <row r="267" spans="4:23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29"/>
      <c r="U267" s="29"/>
      <c r="V267" s="29"/>
      <c r="W267" s="29"/>
    </row>
    <row r="268" spans="4:23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29"/>
      <c r="U268" s="29"/>
      <c r="V268" s="29"/>
      <c r="W268" s="29"/>
    </row>
    <row r="269" spans="4:23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29"/>
      <c r="U269" s="29"/>
      <c r="V269" s="29"/>
      <c r="W269" s="29"/>
    </row>
    <row r="270" spans="4:23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29"/>
      <c r="U270" s="29"/>
      <c r="V270" s="29"/>
      <c r="W270" s="29"/>
    </row>
    <row r="271" spans="4:23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29"/>
      <c r="U271" s="29"/>
      <c r="V271" s="29"/>
      <c r="W271" s="29"/>
    </row>
    <row r="272" spans="4:23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29"/>
      <c r="U272" s="29"/>
      <c r="V272" s="29"/>
      <c r="W272" s="29"/>
    </row>
    <row r="273" spans="4:23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29"/>
      <c r="U273" s="29"/>
      <c r="V273" s="29"/>
      <c r="W273" s="29"/>
    </row>
    <row r="274" spans="4:23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29"/>
      <c r="U274" s="29"/>
      <c r="V274" s="29"/>
      <c r="W274" s="29"/>
    </row>
    <row r="275" spans="4:23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29"/>
      <c r="U275" s="29"/>
      <c r="V275" s="29"/>
      <c r="W275" s="29"/>
    </row>
    <row r="276" spans="4:23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29"/>
      <c r="U276" s="29"/>
      <c r="V276" s="29"/>
      <c r="W276" s="29"/>
    </row>
    <row r="277" spans="4:23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29"/>
      <c r="U277" s="29"/>
      <c r="V277" s="29"/>
      <c r="W277" s="29"/>
    </row>
    <row r="278" spans="4:23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29"/>
      <c r="U278" s="29"/>
      <c r="V278" s="29"/>
      <c r="W278" s="29"/>
    </row>
    <row r="279" spans="4:23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29"/>
      <c r="U279" s="29"/>
      <c r="V279" s="29"/>
      <c r="W279" s="29"/>
    </row>
    <row r="280" spans="4:23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29"/>
      <c r="U280" s="29"/>
      <c r="V280" s="29"/>
      <c r="W280" s="29"/>
    </row>
    <row r="281" spans="4:23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29"/>
      <c r="U281" s="29"/>
      <c r="V281" s="29"/>
      <c r="W281" s="29"/>
    </row>
    <row r="282" spans="4:23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29"/>
      <c r="U282" s="29"/>
      <c r="V282" s="29"/>
      <c r="W282" s="29"/>
    </row>
    <row r="283" spans="4:23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29"/>
      <c r="U283" s="29"/>
      <c r="V283" s="29"/>
      <c r="W283" s="29"/>
    </row>
    <row r="284" spans="4:23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29"/>
      <c r="U284" s="29"/>
      <c r="V284" s="29"/>
      <c r="W284" s="29"/>
    </row>
    <row r="285" spans="4:23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29"/>
      <c r="U285" s="29"/>
      <c r="V285" s="29"/>
      <c r="W285" s="29"/>
    </row>
    <row r="286" spans="4:23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29"/>
      <c r="U286" s="29"/>
      <c r="V286" s="29"/>
      <c r="W286" s="29"/>
    </row>
    <row r="287" spans="4:23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29"/>
      <c r="U287" s="29"/>
      <c r="V287" s="29"/>
      <c r="W287" s="29"/>
    </row>
    <row r="288" spans="4:23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29"/>
      <c r="U288" s="29"/>
      <c r="V288" s="29"/>
      <c r="W288" s="29"/>
    </row>
    <row r="289" spans="4:23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29"/>
      <c r="U289" s="29"/>
      <c r="V289" s="29"/>
      <c r="W289" s="29"/>
    </row>
    <row r="290" spans="4:23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29"/>
      <c r="U290" s="29"/>
      <c r="V290" s="29"/>
      <c r="W290" s="29"/>
    </row>
    <row r="291" spans="4:23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29"/>
      <c r="U291" s="29"/>
      <c r="V291" s="29"/>
      <c r="W291" s="29"/>
    </row>
    <row r="292" spans="4:23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29"/>
      <c r="U292" s="29"/>
      <c r="V292" s="29"/>
      <c r="W292" s="29"/>
    </row>
    <row r="293" spans="4:23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29"/>
      <c r="U293" s="29"/>
      <c r="V293" s="29"/>
      <c r="W293" s="29"/>
    </row>
    <row r="294" spans="4:23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29"/>
      <c r="U294" s="29"/>
      <c r="V294" s="29"/>
      <c r="W294" s="29"/>
    </row>
    <row r="295" spans="4:23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29"/>
      <c r="U295" s="29"/>
      <c r="V295" s="29"/>
      <c r="W295" s="29"/>
    </row>
    <row r="296" spans="4:23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29"/>
      <c r="U296" s="29"/>
      <c r="V296" s="29"/>
      <c r="W296" s="29"/>
    </row>
    <row r="297" spans="4:23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29"/>
      <c r="U297" s="29"/>
      <c r="V297" s="29"/>
      <c r="W297" s="29"/>
    </row>
    <row r="298" spans="4:23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29"/>
      <c r="U298" s="29"/>
      <c r="V298" s="29"/>
      <c r="W298" s="29"/>
    </row>
    <row r="299" spans="4:23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29"/>
      <c r="U299" s="29"/>
      <c r="V299" s="29"/>
      <c r="W299" s="29"/>
    </row>
    <row r="300" spans="4:23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29"/>
      <c r="U300" s="29"/>
      <c r="V300" s="29"/>
      <c r="W300" s="29"/>
    </row>
    <row r="301" spans="4:23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29"/>
      <c r="U301" s="29"/>
      <c r="V301" s="29"/>
      <c r="W301" s="29"/>
    </row>
    <row r="302" spans="4:23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29"/>
      <c r="U302" s="29"/>
      <c r="V302" s="29"/>
      <c r="W302" s="29"/>
    </row>
    <row r="303" spans="4:23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29"/>
      <c r="U303" s="29"/>
      <c r="V303" s="29"/>
      <c r="W303" s="29"/>
    </row>
    <row r="304" spans="4:23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29"/>
      <c r="U304" s="29"/>
      <c r="V304" s="29"/>
      <c r="W304" s="29"/>
    </row>
    <row r="305" spans="4:23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29"/>
      <c r="U305" s="29"/>
      <c r="V305" s="29"/>
      <c r="W305" s="29"/>
    </row>
    <row r="306" spans="4:23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29"/>
      <c r="U306" s="29"/>
      <c r="V306" s="29"/>
      <c r="W306" s="29"/>
    </row>
    <row r="307" spans="4:23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29"/>
      <c r="U307" s="29"/>
      <c r="V307" s="29"/>
      <c r="W307" s="29"/>
    </row>
    <row r="308" spans="4:23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29"/>
      <c r="U308" s="29"/>
      <c r="V308" s="29"/>
      <c r="W308" s="29"/>
    </row>
    <row r="309" spans="4:23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29"/>
      <c r="U309" s="29"/>
      <c r="V309" s="29"/>
      <c r="W309" s="29"/>
    </row>
    <row r="310" spans="4:23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29"/>
      <c r="U310" s="29"/>
      <c r="V310" s="29"/>
      <c r="W310" s="29"/>
    </row>
    <row r="311" spans="4:23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29"/>
      <c r="U311" s="29"/>
      <c r="V311" s="29"/>
      <c r="W311" s="29"/>
    </row>
    <row r="312" spans="4:23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29"/>
      <c r="U312" s="29"/>
      <c r="V312" s="29"/>
      <c r="W312" s="29"/>
    </row>
    <row r="313" spans="4:23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29"/>
      <c r="U313" s="29"/>
      <c r="V313" s="29"/>
      <c r="W313" s="29"/>
    </row>
    <row r="314" spans="4:23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29"/>
      <c r="U314" s="29"/>
      <c r="V314" s="29"/>
      <c r="W314" s="29"/>
    </row>
    <row r="315" spans="4:23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29"/>
      <c r="U315" s="29"/>
      <c r="V315" s="29"/>
      <c r="W315" s="29"/>
    </row>
    <row r="316" spans="4:23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29"/>
      <c r="U316" s="29"/>
      <c r="V316" s="29"/>
      <c r="W316" s="29"/>
    </row>
    <row r="317" spans="4:23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29"/>
      <c r="U317" s="29"/>
      <c r="V317" s="29"/>
      <c r="W317" s="29"/>
    </row>
    <row r="318" spans="4:23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29"/>
      <c r="U318" s="29"/>
      <c r="V318" s="29"/>
      <c r="W318" s="29"/>
    </row>
    <row r="319" spans="4:23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29"/>
      <c r="U319" s="29"/>
      <c r="V319" s="29"/>
      <c r="W319" s="29"/>
    </row>
    <row r="320" spans="4:23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29"/>
      <c r="U320" s="29"/>
      <c r="V320" s="29"/>
      <c r="W320" s="29"/>
    </row>
    <row r="321" spans="4:23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29"/>
      <c r="U321" s="29"/>
      <c r="V321" s="29"/>
      <c r="W321" s="29"/>
    </row>
    <row r="322" spans="4:23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29"/>
      <c r="U322" s="29"/>
      <c r="V322" s="29"/>
      <c r="W322" s="29"/>
    </row>
    <row r="323" spans="4:23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29"/>
      <c r="U323" s="29"/>
      <c r="V323" s="29"/>
      <c r="W323" s="29"/>
    </row>
    <row r="324" spans="4:23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29"/>
      <c r="U324" s="29"/>
      <c r="V324" s="29"/>
      <c r="W324" s="29"/>
    </row>
    <row r="325" spans="4:23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29"/>
      <c r="U325" s="29"/>
      <c r="V325" s="29"/>
      <c r="W325" s="29"/>
    </row>
    <row r="326" spans="4:23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29"/>
      <c r="U326" s="29"/>
      <c r="V326" s="29"/>
      <c r="W326" s="29"/>
    </row>
    <row r="327" spans="4:23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29"/>
      <c r="U327" s="29"/>
      <c r="V327" s="29"/>
      <c r="W327" s="29"/>
    </row>
    <row r="328" spans="4:23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29"/>
      <c r="U328" s="29"/>
      <c r="V328" s="29"/>
      <c r="W328" s="29"/>
    </row>
    <row r="329" spans="4:23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29"/>
      <c r="U329" s="29"/>
      <c r="V329" s="29"/>
      <c r="W329" s="29"/>
    </row>
    <row r="330" spans="4:23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29"/>
      <c r="U330" s="29"/>
      <c r="V330" s="29"/>
      <c r="W330" s="29"/>
    </row>
    <row r="331" spans="4:23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29"/>
      <c r="U331" s="29"/>
      <c r="V331" s="29"/>
      <c r="W331" s="29"/>
    </row>
    <row r="332" spans="4:23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29"/>
      <c r="U332" s="29"/>
      <c r="V332" s="29"/>
      <c r="W332" s="29"/>
    </row>
    <row r="333" spans="4:23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29"/>
      <c r="U333" s="29"/>
      <c r="V333" s="29"/>
      <c r="W333" s="29"/>
    </row>
    <row r="334" spans="4:23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29"/>
      <c r="U334" s="29"/>
      <c r="V334" s="29"/>
      <c r="W334" s="29"/>
    </row>
    <row r="335" spans="4:23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29"/>
      <c r="U335" s="29"/>
      <c r="V335" s="29"/>
      <c r="W335" s="29"/>
    </row>
    <row r="336" spans="4:23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29"/>
      <c r="U336" s="29"/>
      <c r="V336" s="29"/>
      <c r="W336" s="29"/>
    </row>
    <row r="337" spans="4:23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29"/>
      <c r="U337" s="29"/>
      <c r="V337" s="29"/>
      <c r="W337" s="29"/>
    </row>
    <row r="338" spans="4:23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29"/>
      <c r="U338" s="29"/>
      <c r="V338" s="29"/>
      <c r="W338" s="29"/>
    </row>
    <row r="339" spans="4:23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29"/>
      <c r="U339" s="29"/>
      <c r="V339" s="29"/>
      <c r="W339" s="29"/>
    </row>
    <row r="340" spans="4:23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29"/>
      <c r="U340" s="29"/>
      <c r="V340" s="29"/>
      <c r="W340" s="29"/>
    </row>
    <row r="341" spans="4:23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29"/>
      <c r="U341" s="29"/>
      <c r="V341" s="29"/>
      <c r="W341" s="29"/>
    </row>
    <row r="342" spans="4:23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29"/>
      <c r="U342" s="29"/>
      <c r="V342" s="29"/>
      <c r="W342" s="29"/>
    </row>
    <row r="343" spans="4:23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29"/>
      <c r="U343" s="29"/>
      <c r="V343" s="29"/>
      <c r="W343" s="29"/>
    </row>
    <row r="344" spans="4:23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29"/>
      <c r="U344" s="29"/>
      <c r="V344" s="29"/>
      <c r="W344" s="29"/>
    </row>
    <row r="345" spans="4:23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29"/>
      <c r="U345" s="29"/>
      <c r="V345" s="29"/>
      <c r="W345" s="29"/>
    </row>
    <row r="346" spans="4:23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29"/>
      <c r="U346" s="29"/>
      <c r="V346" s="29"/>
      <c r="W346" s="29"/>
    </row>
    <row r="347" spans="4:23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29"/>
      <c r="U347" s="29"/>
      <c r="V347" s="29"/>
      <c r="W347" s="29"/>
    </row>
    <row r="348" spans="4:23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29"/>
      <c r="U348" s="29"/>
      <c r="V348" s="29"/>
      <c r="W348" s="29"/>
    </row>
    <row r="349" spans="4:23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29"/>
      <c r="U349" s="29"/>
      <c r="V349" s="29"/>
      <c r="W349" s="29"/>
    </row>
    <row r="350" spans="4:23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29"/>
      <c r="U350" s="29"/>
      <c r="V350" s="29"/>
      <c r="W350" s="29"/>
    </row>
    <row r="351" spans="4:23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29"/>
      <c r="U351" s="29"/>
      <c r="V351" s="29"/>
      <c r="W351" s="29"/>
    </row>
    <row r="352" spans="4:23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29"/>
      <c r="U352" s="29"/>
      <c r="V352" s="29"/>
      <c r="W352" s="29"/>
    </row>
    <row r="353" spans="4:23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29"/>
      <c r="U353" s="29"/>
      <c r="V353" s="29"/>
      <c r="W353" s="29"/>
    </row>
    <row r="354" spans="4:23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29"/>
      <c r="U354" s="29"/>
      <c r="V354" s="29"/>
      <c r="W354" s="29"/>
    </row>
    <row r="355" spans="4:23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29"/>
      <c r="U355" s="29"/>
      <c r="V355" s="29"/>
      <c r="W355" s="29"/>
    </row>
    <row r="356" spans="4:23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29"/>
      <c r="U356" s="29"/>
      <c r="V356" s="29"/>
      <c r="W356" s="29"/>
    </row>
    <row r="357" spans="4:23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29"/>
      <c r="U357" s="29"/>
      <c r="V357" s="29"/>
      <c r="W357" s="29"/>
    </row>
    <row r="358" spans="4:23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29"/>
      <c r="U358" s="29"/>
      <c r="V358" s="29"/>
      <c r="W358" s="29"/>
    </row>
    <row r="359" spans="4:23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29"/>
      <c r="U359" s="29"/>
      <c r="V359" s="29"/>
      <c r="W359" s="29"/>
    </row>
    <row r="360" spans="4:23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29"/>
      <c r="U360" s="29"/>
      <c r="V360" s="29"/>
      <c r="W360" s="29"/>
    </row>
    <row r="361" spans="4:23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29"/>
      <c r="U361" s="29"/>
      <c r="V361" s="29"/>
      <c r="W361" s="29"/>
    </row>
    <row r="362" spans="4:23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29"/>
      <c r="U362" s="29"/>
      <c r="V362" s="29"/>
      <c r="W362" s="29"/>
    </row>
    <row r="363" spans="4:23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29"/>
      <c r="U363" s="29"/>
      <c r="V363" s="29"/>
      <c r="W363" s="29"/>
    </row>
    <row r="364" spans="4:23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29"/>
      <c r="U364" s="29"/>
      <c r="V364" s="29"/>
      <c r="W364" s="29"/>
    </row>
    <row r="365" spans="4:23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29"/>
      <c r="U365" s="29"/>
      <c r="V365" s="29"/>
      <c r="W365" s="29"/>
    </row>
    <row r="366" spans="4:23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29"/>
      <c r="U366" s="29"/>
      <c r="V366" s="29"/>
      <c r="W366" s="29"/>
    </row>
    <row r="367" spans="4:23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29"/>
      <c r="U367" s="29"/>
      <c r="V367" s="29"/>
      <c r="W367" s="29"/>
    </row>
    <row r="368" spans="4:23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29"/>
      <c r="U368" s="29"/>
      <c r="V368" s="29"/>
      <c r="W368" s="29"/>
    </row>
    <row r="369" spans="4:23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29"/>
      <c r="U369" s="29"/>
      <c r="V369" s="29"/>
      <c r="W369" s="29"/>
    </row>
    <row r="370" spans="4:23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29"/>
      <c r="U370" s="29"/>
      <c r="V370" s="29"/>
      <c r="W370" s="29"/>
    </row>
    <row r="371" spans="4:23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29"/>
      <c r="U371" s="29"/>
      <c r="V371" s="29"/>
      <c r="W371" s="29"/>
    </row>
    <row r="372" spans="4:23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29"/>
      <c r="U372" s="29"/>
      <c r="V372" s="29"/>
      <c r="W372" s="29"/>
    </row>
    <row r="373" spans="4:23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29"/>
      <c r="U373" s="29"/>
      <c r="V373" s="29"/>
      <c r="W373" s="29"/>
    </row>
    <row r="374" spans="4:23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29"/>
      <c r="U374" s="29"/>
      <c r="V374" s="29"/>
      <c r="W374" s="29"/>
    </row>
    <row r="375" spans="4:23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29"/>
      <c r="U375" s="29"/>
      <c r="V375" s="29"/>
      <c r="W375" s="29"/>
    </row>
    <row r="376" spans="4:23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29"/>
      <c r="U376" s="29"/>
      <c r="V376" s="29"/>
      <c r="W376" s="29"/>
    </row>
    <row r="377" spans="4:23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29"/>
      <c r="U377" s="29"/>
      <c r="V377" s="29"/>
      <c r="W377" s="29"/>
    </row>
    <row r="378" spans="4:23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29"/>
      <c r="U378" s="29"/>
      <c r="V378" s="29"/>
      <c r="W378" s="29"/>
    </row>
    <row r="379" spans="4:23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29"/>
      <c r="U379" s="29"/>
      <c r="V379" s="29"/>
      <c r="W379" s="29"/>
    </row>
    <row r="380" spans="4:23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29"/>
      <c r="U380" s="29"/>
      <c r="V380" s="29"/>
      <c r="W380" s="29"/>
    </row>
    <row r="381" spans="4:23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29"/>
      <c r="U381" s="29"/>
      <c r="V381" s="29"/>
      <c r="W381" s="29"/>
    </row>
    <row r="382" spans="4:23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29"/>
      <c r="U382" s="29"/>
      <c r="V382" s="29"/>
      <c r="W382" s="29"/>
    </row>
    <row r="383" spans="4:23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29"/>
      <c r="U383" s="29"/>
      <c r="V383" s="29"/>
      <c r="W383" s="29"/>
    </row>
    <row r="384" spans="4:23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29"/>
      <c r="U384" s="29"/>
      <c r="V384" s="29"/>
      <c r="W384" s="29"/>
    </row>
    <row r="385" spans="4:23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29"/>
      <c r="U385" s="29"/>
      <c r="V385" s="29"/>
      <c r="W385" s="29"/>
    </row>
    <row r="386" spans="4:23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29"/>
      <c r="U386" s="29"/>
      <c r="V386" s="29"/>
      <c r="W386" s="29"/>
    </row>
    <row r="387" spans="4:23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29"/>
      <c r="U387" s="29"/>
      <c r="V387" s="29"/>
      <c r="W387" s="29"/>
    </row>
    <row r="388" spans="4:23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29"/>
      <c r="U388" s="29"/>
      <c r="V388" s="29"/>
      <c r="W388" s="29"/>
    </row>
    <row r="389" spans="4:23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29"/>
      <c r="U389" s="29"/>
      <c r="V389" s="29"/>
      <c r="W389" s="29"/>
    </row>
    <row r="390" spans="4:23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29"/>
      <c r="U390" s="29"/>
      <c r="V390" s="29"/>
      <c r="W390" s="29"/>
    </row>
    <row r="391" spans="4:23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29"/>
      <c r="U391" s="29"/>
      <c r="V391" s="29"/>
      <c r="W391" s="29"/>
    </row>
    <row r="392" spans="4:23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29"/>
      <c r="U392" s="29"/>
      <c r="V392" s="29"/>
      <c r="W392" s="29"/>
    </row>
    <row r="393" spans="4:23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29"/>
      <c r="U393" s="29"/>
      <c r="V393" s="29"/>
      <c r="W393" s="29"/>
    </row>
    <row r="394" spans="4:23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29"/>
      <c r="U394" s="29"/>
      <c r="V394" s="29"/>
      <c r="W394" s="29"/>
    </row>
    <row r="395" spans="4:23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29"/>
      <c r="U395" s="29"/>
      <c r="V395" s="29"/>
      <c r="W395" s="29"/>
    </row>
    <row r="396" spans="4:23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29"/>
      <c r="U396" s="29"/>
      <c r="V396" s="29"/>
      <c r="W396" s="29"/>
    </row>
    <row r="397" spans="4:23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29"/>
      <c r="U397" s="29"/>
      <c r="V397" s="29"/>
      <c r="W397" s="29"/>
    </row>
    <row r="398" spans="4:23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29"/>
      <c r="U398" s="29"/>
      <c r="V398" s="29"/>
      <c r="W398" s="29"/>
    </row>
    <row r="399" spans="4:23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29"/>
      <c r="U399" s="29"/>
      <c r="V399" s="29"/>
      <c r="W399" s="29"/>
    </row>
    <row r="400" spans="4:23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29"/>
      <c r="U400" s="29"/>
      <c r="V400" s="29"/>
      <c r="W400" s="29"/>
    </row>
    <row r="401" spans="4:23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29"/>
      <c r="U401" s="29"/>
      <c r="V401" s="29"/>
      <c r="W401" s="29"/>
    </row>
    <row r="402" spans="4:23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29"/>
      <c r="U402" s="29"/>
      <c r="V402" s="29"/>
      <c r="W402" s="29"/>
    </row>
    <row r="403" spans="4:23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29"/>
      <c r="U403" s="29"/>
      <c r="V403" s="29"/>
      <c r="W403" s="29"/>
    </row>
    <row r="404" spans="4:23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29"/>
      <c r="U404" s="29"/>
      <c r="V404" s="29"/>
      <c r="W404" s="29"/>
    </row>
    <row r="405" spans="4:23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29"/>
      <c r="U405" s="29"/>
      <c r="V405" s="29"/>
      <c r="W405" s="29"/>
    </row>
    <row r="406" spans="4:23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29"/>
      <c r="U406" s="29"/>
      <c r="V406" s="29"/>
      <c r="W406" s="29"/>
    </row>
    <row r="407" spans="4:23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29"/>
      <c r="U407" s="29"/>
      <c r="V407" s="29"/>
      <c r="W407" s="29"/>
    </row>
    <row r="408" spans="4:23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29"/>
      <c r="U408" s="29"/>
      <c r="V408" s="29"/>
      <c r="W408" s="29"/>
    </row>
    <row r="409" spans="4:23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29"/>
      <c r="U409" s="29"/>
      <c r="V409" s="29"/>
      <c r="W409" s="29"/>
    </row>
    <row r="410" spans="4:23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29"/>
      <c r="U410" s="29"/>
      <c r="V410" s="29"/>
      <c r="W410" s="29"/>
    </row>
    <row r="411" spans="4:23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29"/>
      <c r="U411" s="29"/>
      <c r="V411" s="29"/>
      <c r="W411" s="29"/>
    </row>
    <row r="412" spans="4:23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29"/>
      <c r="U412" s="29"/>
      <c r="V412" s="29"/>
      <c r="W412" s="29"/>
    </row>
    <row r="413" spans="4:23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29"/>
      <c r="U413" s="29"/>
      <c r="V413" s="29"/>
      <c r="W413" s="29"/>
    </row>
    <row r="414" spans="4:23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29"/>
      <c r="U414" s="29"/>
      <c r="V414" s="29"/>
      <c r="W414" s="29"/>
    </row>
    <row r="415" spans="4:23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29"/>
      <c r="U415" s="29"/>
      <c r="V415" s="29"/>
      <c r="W415" s="29"/>
    </row>
    <row r="416" spans="4:23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29"/>
      <c r="U416" s="29"/>
      <c r="V416" s="29"/>
      <c r="W416" s="29"/>
    </row>
    <row r="417" spans="4:23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29"/>
      <c r="U417" s="29"/>
      <c r="V417" s="29"/>
      <c r="W417" s="29"/>
    </row>
    <row r="418" spans="4:23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29"/>
      <c r="U418" s="29"/>
      <c r="V418" s="29"/>
      <c r="W418" s="29"/>
    </row>
    <row r="419" spans="4:23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29"/>
      <c r="U419" s="29"/>
      <c r="V419" s="29"/>
      <c r="W419" s="29"/>
    </row>
    <row r="420" spans="4:23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29"/>
      <c r="U420" s="29"/>
      <c r="V420" s="29"/>
      <c r="W420" s="29"/>
    </row>
    <row r="421" spans="4:23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29"/>
      <c r="U421" s="29"/>
      <c r="V421" s="29"/>
      <c r="W421" s="29"/>
    </row>
    <row r="422" spans="4:23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29"/>
      <c r="U422" s="29"/>
      <c r="V422" s="29"/>
      <c r="W422" s="29"/>
    </row>
    <row r="423" spans="4:23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29"/>
      <c r="U423" s="29"/>
      <c r="V423" s="29"/>
      <c r="W423" s="29"/>
    </row>
    <row r="424" spans="4:23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29"/>
      <c r="U424" s="29"/>
      <c r="V424" s="29"/>
      <c r="W424" s="29"/>
    </row>
    <row r="425" spans="4:23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29"/>
      <c r="U425" s="29"/>
      <c r="V425" s="29"/>
      <c r="W425" s="29"/>
    </row>
    <row r="426" spans="4:23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29"/>
      <c r="U426" s="29"/>
      <c r="V426" s="29"/>
      <c r="W426" s="29"/>
    </row>
    <row r="427" spans="4:23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29"/>
      <c r="U427" s="29"/>
      <c r="V427" s="29"/>
      <c r="W427" s="29"/>
    </row>
    <row r="428" spans="4:23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29"/>
      <c r="U428" s="29"/>
      <c r="V428" s="29"/>
      <c r="W428" s="29"/>
    </row>
    <row r="429" spans="4:23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29"/>
      <c r="U429" s="29"/>
      <c r="V429" s="29"/>
      <c r="W429" s="29"/>
    </row>
    <row r="430" spans="4:23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29"/>
      <c r="U430" s="29"/>
      <c r="V430" s="29"/>
      <c r="W430" s="29"/>
    </row>
    <row r="431" spans="4:23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29"/>
      <c r="U431" s="29"/>
      <c r="V431" s="29"/>
      <c r="W431" s="29"/>
    </row>
    <row r="432" spans="4:23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29"/>
      <c r="U432" s="29"/>
      <c r="V432" s="29"/>
      <c r="W432" s="29"/>
    </row>
    <row r="433" spans="4:23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29"/>
      <c r="U433" s="29"/>
      <c r="V433" s="29"/>
      <c r="W433" s="29"/>
    </row>
    <row r="434" spans="4:23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29"/>
      <c r="U434" s="29"/>
      <c r="V434" s="29"/>
      <c r="W434" s="29"/>
    </row>
    <row r="435" spans="4:23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29"/>
      <c r="U435" s="29"/>
      <c r="V435" s="29"/>
      <c r="W435" s="29"/>
    </row>
    <row r="436" spans="4:23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29"/>
      <c r="U436" s="29"/>
      <c r="V436" s="29"/>
      <c r="W436" s="29"/>
    </row>
    <row r="437" spans="4:23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29"/>
      <c r="U437" s="29"/>
      <c r="V437" s="29"/>
      <c r="W437" s="29"/>
    </row>
    <row r="438" spans="4:23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29"/>
      <c r="U438" s="29"/>
      <c r="V438" s="29"/>
      <c r="W438" s="29"/>
    </row>
    <row r="439" spans="4:23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29"/>
      <c r="U439" s="29"/>
      <c r="V439" s="29"/>
      <c r="W439" s="29"/>
    </row>
    <row r="440" spans="4:23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29"/>
      <c r="U440" s="29"/>
      <c r="V440" s="29"/>
      <c r="W440" s="29"/>
    </row>
    <row r="441" spans="4:23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29"/>
      <c r="U441" s="29"/>
      <c r="V441" s="29"/>
      <c r="W441" s="29"/>
    </row>
    <row r="442" spans="4:23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29"/>
      <c r="U442" s="29"/>
      <c r="V442" s="29"/>
      <c r="W442" s="29"/>
    </row>
    <row r="443" spans="4:23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29"/>
      <c r="U443" s="29"/>
      <c r="V443" s="29"/>
      <c r="W443" s="29"/>
    </row>
    <row r="444" spans="4:23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29"/>
      <c r="U444" s="29"/>
      <c r="V444" s="29"/>
      <c r="W444" s="29"/>
    </row>
    <row r="445" spans="4:23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29"/>
      <c r="U445" s="29"/>
      <c r="V445" s="29"/>
      <c r="W445" s="29"/>
    </row>
    <row r="446" spans="4:23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29"/>
      <c r="U446" s="29"/>
      <c r="V446" s="29"/>
      <c r="W446" s="29"/>
    </row>
    <row r="447" spans="4:23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29"/>
      <c r="U447" s="29"/>
      <c r="V447" s="29"/>
      <c r="W447" s="29"/>
    </row>
    <row r="448" spans="4:23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29"/>
      <c r="U448" s="29"/>
      <c r="V448" s="29"/>
      <c r="W448" s="29"/>
    </row>
    <row r="449" spans="4:23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29"/>
      <c r="U449" s="29"/>
      <c r="V449" s="29"/>
      <c r="W449" s="29"/>
    </row>
    <row r="450" spans="4:23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29"/>
      <c r="U450" s="29"/>
      <c r="V450" s="29"/>
      <c r="W450" s="29"/>
    </row>
    <row r="451" spans="4:23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29"/>
      <c r="U451" s="29"/>
      <c r="V451" s="29"/>
      <c r="W451" s="29"/>
    </row>
    <row r="452" spans="4:23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29"/>
      <c r="U452" s="29"/>
      <c r="V452" s="29"/>
      <c r="W452" s="29"/>
    </row>
    <row r="453" spans="4:23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29"/>
      <c r="U453" s="29"/>
      <c r="V453" s="29"/>
      <c r="W453" s="29"/>
    </row>
    <row r="454" spans="4:23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29"/>
      <c r="U454" s="29"/>
      <c r="V454" s="29"/>
      <c r="W454" s="29"/>
    </row>
    <row r="455" spans="4:23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29"/>
      <c r="U455" s="29"/>
      <c r="V455" s="29"/>
      <c r="W455" s="29"/>
    </row>
    <row r="456" spans="4:23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29"/>
      <c r="U456" s="29"/>
      <c r="V456" s="29"/>
      <c r="W456" s="29"/>
    </row>
    <row r="457" spans="4:23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29"/>
      <c r="U457" s="29"/>
      <c r="V457" s="29"/>
      <c r="W457" s="29"/>
    </row>
    <row r="458" spans="4:23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29"/>
      <c r="U458" s="29"/>
      <c r="V458" s="29"/>
      <c r="W458" s="29"/>
    </row>
    <row r="459" spans="4:23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29"/>
      <c r="U459" s="29"/>
      <c r="V459" s="29"/>
      <c r="W459" s="29"/>
    </row>
    <row r="460" spans="4:23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29"/>
      <c r="U460" s="29"/>
      <c r="V460" s="29"/>
      <c r="W460" s="29"/>
    </row>
    <row r="461" spans="4:23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29"/>
      <c r="U461" s="29"/>
      <c r="V461" s="29"/>
      <c r="W461" s="29"/>
    </row>
    <row r="462" spans="4:23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29"/>
      <c r="U462" s="29"/>
      <c r="V462" s="29"/>
      <c r="W462" s="29"/>
    </row>
    <row r="463" spans="4:23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29"/>
      <c r="U463" s="29"/>
      <c r="V463" s="29"/>
      <c r="W463" s="29"/>
    </row>
    <row r="464" spans="4:23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29"/>
      <c r="U464" s="29"/>
      <c r="V464" s="29"/>
      <c r="W464" s="29"/>
    </row>
    <row r="465" spans="4:23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29"/>
      <c r="U465" s="29"/>
      <c r="V465" s="29"/>
      <c r="W465" s="29"/>
    </row>
    <row r="466" spans="4:23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29"/>
      <c r="U466" s="29"/>
      <c r="V466" s="29"/>
      <c r="W466" s="29"/>
    </row>
    <row r="467" spans="4:23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29"/>
      <c r="U467" s="29"/>
      <c r="V467" s="29"/>
      <c r="W467" s="29"/>
    </row>
    <row r="468" spans="4:23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29"/>
      <c r="U468" s="29"/>
      <c r="V468" s="29"/>
      <c r="W468" s="29"/>
    </row>
    <row r="469" spans="4:23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29"/>
      <c r="U469" s="29"/>
      <c r="V469" s="29"/>
      <c r="W469" s="29"/>
    </row>
    <row r="470" spans="4:23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29"/>
      <c r="U470" s="29"/>
      <c r="V470" s="29"/>
      <c r="W470" s="29"/>
    </row>
    <row r="471" spans="4:23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29"/>
      <c r="U471" s="29"/>
      <c r="V471" s="29"/>
      <c r="W471" s="29"/>
    </row>
    <row r="472" spans="4:23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29"/>
      <c r="U472" s="29"/>
      <c r="V472" s="29"/>
      <c r="W472" s="29"/>
    </row>
    <row r="473" spans="4:23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29"/>
      <c r="U473" s="29"/>
      <c r="V473" s="29"/>
      <c r="W473" s="29"/>
    </row>
    <row r="474" spans="4:23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29"/>
      <c r="U474" s="29"/>
      <c r="V474" s="29"/>
      <c r="W474" s="29"/>
    </row>
    <row r="475" spans="4:23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29"/>
      <c r="U475" s="29"/>
      <c r="V475" s="29"/>
      <c r="W475" s="29"/>
    </row>
    <row r="476" spans="4:23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29"/>
      <c r="U476" s="29"/>
      <c r="V476" s="29"/>
      <c r="W476" s="29"/>
    </row>
    <row r="477" spans="4:23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29"/>
      <c r="U477" s="29"/>
      <c r="V477" s="29"/>
      <c r="W477" s="29"/>
    </row>
    <row r="478" spans="4:23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29"/>
      <c r="U478" s="29"/>
      <c r="V478" s="29"/>
      <c r="W478" s="29"/>
    </row>
    <row r="479" spans="4:23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29"/>
      <c r="U479" s="29"/>
      <c r="V479" s="29"/>
      <c r="W479" s="29"/>
    </row>
    <row r="480" spans="4:23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29"/>
      <c r="U480" s="29"/>
      <c r="V480" s="29"/>
      <c r="W480" s="29"/>
    </row>
    <row r="481" spans="4:23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29"/>
      <c r="U481" s="29"/>
      <c r="V481" s="29"/>
      <c r="W481" s="29"/>
    </row>
    <row r="482" spans="4:23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29"/>
      <c r="U482" s="29"/>
      <c r="V482" s="29"/>
      <c r="W482" s="29"/>
    </row>
    <row r="483" spans="4:23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29"/>
      <c r="U483" s="29"/>
      <c r="V483" s="29"/>
      <c r="W483" s="29"/>
    </row>
    <row r="484" spans="4:23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29"/>
      <c r="U484" s="29"/>
      <c r="V484" s="29"/>
      <c r="W484" s="29"/>
    </row>
    <row r="485" spans="4:23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29"/>
      <c r="U485" s="29"/>
      <c r="V485" s="29"/>
      <c r="W485" s="29"/>
    </row>
    <row r="486" spans="4:23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29"/>
      <c r="U486" s="29"/>
      <c r="V486" s="29"/>
      <c r="W486" s="29"/>
    </row>
    <row r="487" spans="4:23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29"/>
      <c r="U487" s="29"/>
      <c r="V487" s="29"/>
      <c r="W487" s="29"/>
    </row>
    <row r="488" spans="4:23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29"/>
      <c r="U488" s="29"/>
      <c r="V488" s="29"/>
      <c r="W488" s="29"/>
    </row>
    <row r="489" spans="4:23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29"/>
      <c r="U489" s="29"/>
      <c r="V489" s="29"/>
      <c r="W489" s="29"/>
    </row>
    <row r="490" spans="4:23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29"/>
      <c r="U490" s="29"/>
      <c r="V490" s="29"/>
      <c r="W490" s="29"/>
    </row>
    <row r="491" spans="4:23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29"/>
      <c r="U491" s="29"/>
      <c r="V491" s="29"/>
      <c r="W491" s="29"/>
    </row>
    <row r="492" spans="4:23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29"/>
      <c r="U492" s="29"/>
      <c r="V492" s="29"/>
      <c r="W492" s="29"/>
    </row>
    <row r="493" spans="4:23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29"/>
      <c r="U493" s="29"/>
      <c r="V493" s="29"/>
      <c r="W493" s="29"/>
    </row>
    <row r="494" spans="4:23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29"/>
      <c r="U494" s="29"/>
      <c r="V494" s="29"/>
      <c r="W494" s="29"/>
    </row>
    <row r="495" spans="4:23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29"/>
      <c r="U495" s="29"/>
      <c r="V495" s="29"/>
      <c r="W495" s="29"/>
    </row>
    <row r="496" spans="4:23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29"/>
      <c r="U496" s="29"/>
      <c r="V496" s="29"/>
      <c r="W496" s="29"/>
    </row>
    <row r="497" spans="4:23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29"/>
      <c r="U497" s="29"/>
      <c r="V497" s="29"/>
      <c r="W497" s="29"/>
    </row>
    <row r="498" spans="4:23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29"/>
      <c r="U498" s="29"/>
      <c r="V498" s="29"/>
      <c r="W498" s="29"/>
    </row>
    <row r="499" spans="4:23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29"/>
      <c r="U499" s="29"/>
      <c r="V499" s="29"/>
      <c r="W499" s="29"/>
    </row>
    <row r="500" spans="4:23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29"/>
      <c r="U500" s="29"/>
      <c r="V500" s="29"/>
      <c r="W500" s="29"/>
    </row>
    <row r="501" spans="4:23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29"/>
      <c r="U501" s="29"/>
      <c r="V501" s="29"/>
      <c r="W501" s="29"/>
    </row>
    <row r="502" spans="4:23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29"/>
      <c r="U502" s="29"/>
      <c r="V502" s="29"/>
      <c r="W502" s="29"/>
    </row>
    <row r="503" spans="4:23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29"/>
      <c r="U503" s="29"/>
      <c r="V503" s="29"/>
      <c r="W503" s="29"/>
    </row>
    <row r="504" spans="4:23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29"/>
      <c r="U504" s="29"/>
      <c r="V504" s="29"/>
      <c r="W504" s="29"/>
    </row>
    <row r="505" spans="4:23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29"/>
      <c r="U505" s="29"/>
      <c r="V505" s="29"/>
      <c r="W505" s="29"/>
    </row>
    <row r="506" spans="4:23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29"/>
      <c r="U506" s="29"/>
      <c r="V506" s="29"/>
      <c r="W506" s="29"/>
    </row>
    <row r="507" spans="4:23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29"/>
      <c r="U507" s="29"/>
      <c r="V507" s="29"/>
      <c r="W507" s="29"/>
    </row>
    <row r="508" spans="4:23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29"/>
      <c r="U508" s="29"/>
      <c r="V508" s="29"/>
      <c r="W508" s="29"/>
    </row>
    <row r="509" spans="4:23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29"/>
      <c r="U509" s="29"/>
      <c r="V509" s="29"/>
      <c r="W509" s="29"/>
    </row>
    <row r="510" spans="4:23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29"/>
      <c r="U510" s="29"/>
      <c r="V510" s="29"/>
      <c r="W510" s="29"/>
    </row>
    <row r="511" spans="4:23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29"/>
      <c r="U511" s="29"/>
      <c r="V511" s="29"/>
      <c r="W511" s="29"/>
    </row>
    <row r="512" spans="4:23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29"/>
      <c r="U512" s="29"/>
      <c r="V512" s="29"/>
      <c r="W512" s="29"/>
    </row>
    <row r="513" spans="4:23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29"/>
      <c r="U513" s="29"/>
      <c r="V513" s="29"/>
      <c r="W513" s="29"/>
    </row>
    <row r="514" spans="4:23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29"/>
      <c r="U514" s="29"/>
      <c r="V514" s="29"/>
      <c r="W514" s="29"/>
    </row>
    <row r="515" spans="4:23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29"/>
      <c r="U515" s="29"/>
      <c r="V515" s="29"/>
      <c r="W515" s="29"/>
    </row>
    <row r="516" spans="4:23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29"/>
      <c r="U516" s="29"/>
      <c r="V516" s="29"/>
      <c r="W516" s="29"/>
    </row>
    <row r="517" spans="4:23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29"/>
      <c r="U517" s="29"/>
      <c r="V517" s="29"/>
      <c r="W517" s="29"/>
    </row>
    <row r="518" spans="4:23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29"/>
      <c r="U518" s="29"/>
      <c r="V518" s="29"/>
      <c r="W518" s="29"/>
    </row>
    <row r="519" spans="4:23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29"/>
      <c r="U519" s="29"/>
      <c r="V519" s="29"/>
      <c r="W519" s="29"/>
    </row>
    <row r="520" spans="4:23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29"/>
      <c r="U520" s="29"/>
      <c r="V520" s="29"/>
      <c r="W520" s="29"/>
    </row>
    <row r="521" spans="4:23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29"/>
      <c r="U521" s="29"/>
      <c r="V521" s="29"/>
      <c r="W521" s="29"/>
    </row>
    <row r="522" spans="4:23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29"/>
      <c r="U522" s="29"/>
      <c r="V522" s="29"/>
      <c r="W522" s="29"/>
    </row>
    <row r="523" spans="4:23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29"/>
      <c r="U523" s="29"/>
      <c r="V523" s="29"/>
      <c r="W523" s="29"/>
    </row>
    <row r="524" spans="4:23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29"/>
      <c r="U524" s="29"/>
      <c r="V524" s="29"/>
      <c r="W524" s="29"/>
    </row>
    <row r="525" spans="4:23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29"/>
      <c r="U525" s="29"/>
      <c r="V525" s="29"/>
      <c r="W525" s="29"/>
    </row>
    <row r="526" spans="4:23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29"/>
      <c r="U526" s="29"/>
      <c r="V526" s="29"/>
      <c r="W526" s="29"/>
    </row>
    <row r="527" spans="4:23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29"/>
      <c r="U527" s="29"/>
      <c r="V527" s="29"/>
      <c r="W527" s="29"/>
    </row>
  </sheetData>
  <sheetProtection/>
  <printOptions/>
  <pageMargins left="0.75" right="0" top="0.73" bottom="0.55" header="0" footer="0"/>
  <pageSetup horizontalDpi="600" verticalDpi="600" orientation="landscape" scale="38" r:id="rId1"/>
  <headerFooter alignWithMargins="0">
    <oddHeader>&amp;RSTATEMENT AF
Page &amp;P of &amp;N</oddHeader>
  </headerFooter>
  <rowBreaks count="1" manualBreakCount="1">
    <brk id="6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Hunt</dc:creator>
  <cp:keywords/>
  <dc:description/>
  <cp:lastModifiedBy>American Electric Power®</cp:lastModifiedBy>
  <cp:lastPrinted>2012-05-24T14:51:41Z</cp:lastPrinted>
  <dcterms:created xsi:type="dcterms:W3CDTF">2004-04-30T19:55:52Z</dcterms:created>
  <dcterms:modified xsi:type="dcterms:W3CDTF">2012-05-24T15:01:51Z</dcterms:modified>
  <cp:category/>
  <cp:version/>
  <cp:contentType/>
  <cp:contentStatus/>
</cp:coreProperties>
</file>